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Volumes/STICKER/BUSSINES DOC/"/>
    </mc:Choice>
  </mc:AlternateContent>
  <xr:revisionPtr revIDLastSave="0" documentId="13_ncr:1_{52B70256-66F8-BA49-BB42-B3C20D29A7EF}" xr6:coauthVersionLast="47" xr6:coauthVersionMax="47" xr10:uidLastSave="{00000000-0000-0000-0000-000000000000}"/>
  <bookViews>
    <workbookView xWindow="0" yWindow="600" windowWidth="27040" windowHeight="15820" tabRatio="500" firstSheet="1" activeTab="7" xr2:uid="{00000000-000D-0000-FFFF-FFFF00000000}"/>
  </bookViews>
  <sheets>
    <sheet name="Enhancement Rationale" sheetId="1" r:id="rId1"/>
    <sheet name="Angel Investment Options" sheetId="2" r:id="rId2"/>
    <sheet name="Executive Summary" sheetId="3" r:id="rId3"/>
    <sheet name="Financial Metrics Summary" sheetId="4" r:id="rId4"/>
    <sheet name="Regulatory Compliance1" sheetId="5" r:id="rId5"/>
    <sheet name="Regulatory Compliance" sheetId="6" r:id="rId6"/>
    <sheet name="Base Case - Hybrid Model" sheetId="7" r:id="rId7"/>
    <sheet name="Conservative (80%)" sheetId="8" r:id="rId8"/>
    <sheet name="Aggressive (140%)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2" l="1"/>
  <c r="C11" i="2"/>
  <c r="D10" i="2"/>
  <c r="B78" i="9"/>
  <c r="D14" i="4" s="1"/>
  <c r="B75" i="9"/>
  <c r="B67" i="9"/>
  <c r="G50" i="9"/>
  <c r="F50" i="9"/>
  <c r="E50" i="9"/>
  <c r="G47" i="9"/>
  <c r="F47" i="9"/>
  <c r="E47" i="9"/>
  <c r="G36" i="9"/>
  <c r="F36" i="9"/>
  <c r="E36" i="9"/>
  <c r="G35" i="9"/>
  <c r="F35" i="9"/>
  <c r="E35" i="9"/>
  <c r="F34" i="9"/>
  <c r="F37" i="9" s="1"/>
  <c r="E34" i="9"/>
  <c r="E37" i="9" s="1"/>
  <c r="D34" i="9"/>
  <c r="D30" i="9"/>
  <c r="C30" i="9"/>
  <c r="G29" i="9"/>
  <c r="F29" i="9"/>
  <c r="G28" i="9"/>
  <c r="F28" i="9"/>
  <c r="G26" i="9"/>
  <c r="F26" i="9"/>
  <c r="E26" i="9"/>
  <c r="G25" i="9"/>
  <c r="G30" i="9" s="1"/>
  <c r="F25" i="9"/>
  <c r="F30" i="9" s="1"/>
  <c r="E25" i="9"/>
  <c r="E30" i="9" s="1"/>
  <c r="D25" i="9"/>
  <c r="C25" i="9"/>
  <c r="G24" i="9"/>
  <c r="F24" i="9"/>
  <c r="E24" i="9"/>
  <c r="E28" i="9" s="1"/>
  <c r="D24" i="9"/>
  <c r="D28" i="9" s="1"/>
  <c r="C24" i="9"/>
  <c r="C47" i="9" s="1"/>
  <c r="C50" i="9" s="1"/>
  <c r="B17" i="9"/>
  <c r="G12" i="9"/>
  <c r="G34" i="9" s="1"/>
  <c r="G37" i="9" s="1"/>
  <c r="F12" i="9"/>
  <c r="E12" i="9"/>
  <c r="D12" i="9"/>
  <c r="D35" i="9" s="1"/>
  <c r="C12" i="9"/>
  <c r="C35" i="9" s="1"/>
  <c r="B7" i="9"/>
  <c r="G13" i="9" s="1"/>
  <c r="D39" i="4" s="1"/>
  <c r="B78" i="8"/>
  <c r="B14" i="4" s="1"/>
  <c r="B75" i="8"/>
  <c r="D47" i="8"/>
  <c r="D50" i="8" s="1"/>
  <c r="C47" i="8"/>
  <c r="C50" i="8" s="1"/>
  <c r="G36" i="8"/>
  <c r="F36" i="8"/>
  <c r="F35" i="8"/>
  <c r="G34" i="8"/>
  <c r="F34" i="8"/>
  <c r="F37" i="8" s="1"/>
  <c r="G30" i="8"/>
  <c r="E30" i="8"/>
  <c r="D30" i="8"/>
  <c r="C30" i="8"/>
  <c r="G29" i="8"/>
  <c r="C29" i="8"/>
  <c r="G28" i="8"/>
  <c r="C28" i="8"/>
  <c r="G26" i="8"/>
  <c r="G31" i="8" s="1"/>
  <c r="G25" i="8"/>
  <c r="F25" i="8"/>
  <c r="F30" i="8" s="1"/>
  <c r="E25" i="8"/>
  <c r="D25" i="8"/>
  <c r="C25" i="8"/>
  <c r="G24" i="8"/>
  <c r="G47" i="8" s="1"/>
  <c r="G50" i="8" s="1"/>
  <c r="F24" i="8"/>
  <c r="F29" i="8" s="1"/>
  <c r="E24" i="8"/>
  <c r="E29" i="8" s="1"/>
  <c r="D24" i="8"/>
  <c r="D26" i="8" s="1"/>
  <c r="C24" i="8"/>
  <c r="C26" i="8" s="1"/>
  <c r="C31" i="8" s="1"/>
  <c r="B17" i="8"/>
  <c r="C13" i="8"/>
  <c r="G12" i="8"/>
  <c r="G13" i="8" s="1"/>
  <c r="B39" i="4" s="1"/>
  <c r="F12" i="8"/>
  <c r="F13" i="8" s="1"/>
  <c r="E12" i="8"/>
  <c r="E36" i="8" s="1"/>
  <c r="D12" i="8"/>
  <c r="D36" i="8" s="1"/>
  <c r="C12" i="8"/>
  <c r="C34" i="8" s="1"/>
  <c r="B7" i="8"/>
  <c r="B78" i="7"/>
  <c r="C14" i="4" s="1"/>
  <c r="B75" i="7"/>
  <c r="B67" i="7"/>
  <c r="C27" i="4" s="1"/>
  <c r="E50" i="7"/>
  <c r="G47" i="7"/>
  <c r="G50" i="7" s="1"/>
  <c r="F47" i="7"/>
  <c r="F50" i="7" s="1"/>
  <c r="E47" i="7"/>
  <c r="E37" i="7"/>
  <c r="G36" i="7"/>
  <c r="F36" i="7"/>
  <c r="E36" i="7"/>
  <c r="C36" i="7"/>
  <c r="G35" i="7"/>
  <c r="E35" i="7"/>
  <c r="C35" i="7"/>
  <c r="E34" i="7"/>
  <c r="D34" i="7"/>
  <c r="D30" i="7"/>
  <c r="C30" i="7"/>
  <c r="G29" i="7"/>
  <c r="F29" i="7"/>
  <c r="D29" i="7"/>
  <c r="C29" i="7"/>
  <c r="F28" i="7"/>
  <c r="D28" i="7"/>
  <c r="E26" i="7"/>
  <c r="G25" i="7"/>
  <c r="G30" i="7" s="1"/>
  <c r="F25" i="7"/>
  <c r="F30" i="7" s="1"/>
  <c r="E25" i="7"/>
  <c r="E30" i="7" s="1"/>
  <c r="D25" i="7"/>
  <c r="C25" i="7"/>
  <c r="G24" i="7"/>
  <c r="G26" i="7" s="1"/>
  <c r="F24" i="7"/>
  <c r="E24" i="7"/>
  <c r="E28" i="7" s="1"/>
  <c r="D24" i="7"/>
  <c r="D26" i="7" s="1"/>
  <c r="D31" i="7" s="1"/>
  <c r="C24" i="7"/>
  <c r="C47" i="7" s="1"/>
  <c r="C50" i="7" s="1"/>
  <c r="B17" i="7"/>
  <c r="F13" i="7"/>
  <c r="E13" i="7"/>
  <c r="G12" i="7"/>
  <c r="G34" i="7" s="1"/>
  <c r="G37" i="7" s="1"/>
  <c r="F12" i="7"/>
  <c r="F34" i="7" s="1"/>
  <c r="E12" i="7"/>
  <c r="D12" i="7"/>
  <c r="D35" i="7" s="1"/>
  <c r="C12" i="7"/>
  <c r="C34" i="7" s="1"/>
  <c r="C37" i="7" s="1"/>
  <c r="B7" i="7"/>
  <c r="D13" i="7" s="1"/>
  <c r="D38" i="4"/>
  <c r="C38" i="4"/>
  <c r="D27" i="4"/>
  <c r="B29" i="4" l="1"/>
  <c r="D37" i="9"/>
  <c r="G31" i="7"/>
  <c r="E31" i="9"/>
  <c r="B66" i="8"/>
  <c r="B26" i="4" s="1"/>
  <c r="B83" i="8"/>
  <c r="B19" i="4" s="1"/>
  <c r="B82" i="8"/>
  <c r="B81" i="8"/>
  <c r="B17" i="4" s="1"/>
  <c r="B30" i="4"/>
  <c r="F31" i="9"/>
  <c r="G31" i="9"/>
  <c r="C13" i="7"/>
  <c r="D47" i="7"/>
  <c r="D50" i="7" s="1"/>
  <c r="E26" i="8"/>
  <c r="D34" i="8"/>
  <c r="B67" i="8"/>
  <c r="B27" i="4" s="1"/>
  <c r="C13" i="9"/>
  <c r="D47" i="9"/>
  <c r="D50" i="9" s="1"/>
  <c r="G28" i="7"/>
  <c r="F35" i="7"/>
  <c r="F37" i="7" s="1"/>
  <c r="F26" i="8"/>
  <c r="E34" i="8"/>
  <c r="D13" i="9"/>
  <c r="E13" i="9"/>
  <c r="C29" i="9"/>
  <c r="F13" i="9"/>
  <c r="D29" i="9"/>
  <c r="C36" i="9"/>
  <c r="G13" i="7"/>
  <c r="C39" i="4" s="1"/>
  <c r="C26" i="7"/>
  <c r="C31" i="7" s="1"/>
  <c r="E29" i="7"/>
  <c r="E31" i="7" s="1"/>
  <c r="D36" i="7"/>
  <c r="D37" i="7" s="1"/>
  <c r="D28" i="8"/>
  <c r="C35" i="8"/>
  <c r="C37" i="8" s="1"/>
  <c r="C26" i="9"/>
  <c r="E29" i="9"/>
  <c r="D36" i="9"/>
  <c r="E28" i="8"/>
  <c r="D35" i="8"/>
  <c r="D26" i="9"/>
  <c r="D31" i="9" s="1"/>
  <c r="C34" i="9"/>
  <c r="C37" i="9" s="1"/>
  <c r="F26" i="7"/>
  <c r="F31" i="7" s="1"/>
  <c r="D13" i="8"/>
  <c r="E47" i="8"/>
  <c r="E50" i="8" s="1"/>
  <c r="F28" i="8"/>
  <c r="E35" i="8"/>
  <c r="E13" i="8"/>
  <c r="G35" i="8"/>
  <c r="G37" i="8" s="1"/>
  <c r="F47" i="8"/>
  <c r="F50" i="8" s="1"/>
  <c r="B38" i="4"/>
  <c r="C28" i="7"/>
  <c r="D29" i="8"/>
  <c r="D31" i="8" s="1"/>
  <c r="C36" i="8"/>
  <c r="C28" i="9"/>
  <c r="G38" i="8" l="1"/>
  <c r="G52" i="8" s="1"/>
  <c r="G39" i="8"/>
  <c r="D38" i="7"/>
  <c r="D52" i="7" s="1"/>
  <c r="D39" i="7"/>
  <c r="C38" i="8"/>
  <c r="C52" i="8" s="1"/>
  <c r="C39" i="8"/>
  <c r="E39" i="7"/>
  <c r="E38" i="7"/>
  <c r="E52" i="7" s="1"/>
  <c r="E57" i="7" s="1"/>
  <c r="D38" i="8"/>
  <c r="D52" i="8" s="1"/>
  <c r="D57" i="8" s="1"/>
  <c r="D39" i="8"/>
  <c r="F39" i="7"/>
  <c r="F38" i="7"/>
  <c r="F52" i="7" s="1"/>
  <c r="F57" i="7" s="1"/>
  <c r="C39" i="7"/>
  <c r="C29" i="4"/>
  <c r="C38" i="7"/>
  <c r="C52" i="7" s="1"/>
  <c r="C53" i="7" s="1"/>
  <c r="C35" i="4" s="1"/>
  <c r="B85" i="8"/>
  <c r="B21" i="4" s="1"/>
  <c r="B18" i="4"/>
  <c r="D37" i="8"/>
  <c r="F39" i="9"/>
  <c r="F53" i="9"/>
  <c r="F38" i="9"/>
  <c r="F52" i="9" s="1"/>
  <c r="F57" i="9" s="1"/>
  <c r="D39" i="9"/>
  <c r="D38" i="9"/>
  <c r="D52" i="9" s="1"/>
  <c r="D57" i="9" s="1"/>
  <c r="E31" i="8"/>
  <c r="C31" i="9"/>
  <c r="B83" i="9"/>
  <c r="D19" i="4" s="1"/>
  <c r="G39" i="9"/>
  <c r="B82" i="9"/>
  <c r="B81" i="9"/>
  <c r="D17" i="4" s="1"/>
  <c r="D30" i="4"/>
  <c r="G53" i="9"/>
  <c r="D36" i="4" s="1"/>
  <c r="G38" i="9"/>
  <c r="G52" i="9" s="1"/>
  <c r="E39" i="9"/>
  <c r="E38" i="9"/>
  <c r="E52" i="9" s="1"/>
  <c r="E57" i="9" s="1"/>
  <c r="E37" i="8"/>
  <c r="G39" i="7"/>
  <c r="E58" i="2"/>
  <c r="C30" i="4"/>
  <c r="B83" i="7"/>
  <c r="C19" i="4" s="1"/>
  <c r="B82" i="7"/>
  <c r="C59" i="2"/>
  <c r="B81" i="7"/>
  <c r="C17" i="4" s="1"/>
  <c r="B66" i="7"/>
  <c r="C26" i="4" s="1"/>
  <c r="G38" i="7"/>
  <c r="G52" i="7" s="1"/>
  <c r="E63" i="2"/>
  <c r="C63" i="2"/>
  <c r="C58" i="2"/>
  <c r="E59" i="2"/>
  <c r="F31" i="8"/>
  <c r="C39" i="9" l="1"/>
  <c r="D29" i="4"/>
  <c r="C53" i="9"/>
  <c r="D35" i="4" s="1"/>
  <c r="C38" i="9"/>
  <c r="C52" i="9" s="1"/>
  <c r="B32" i="4"/>
  <c r="C57" i="8"/>
  <c r="C53" i="8"/>
  <c r="B35" i="4" s="1"/>
  <c r="D75" i="8"/>
  <c r="D53" i="8"/>
  <c r="E75" i="7"/>
  <c r="E67" i="2"/>
  <c r="E68" i="2"/>
  <c r="C32" i="4"/>
  <c r="C57" i="7"/>
  <c r="E75" i="9"/>
  <c r="E38" i="8"/>
  <c r="E52" i="8" s="1"/>
  <c r="E57" i="8" s="1"/>
  <c r="E39" i="8"/>
  <c r="G57" i="7"/>
  <c r="C33" i="4"/>
  <c r="E53" i="9"/>
  <c r="D75" i="9"/>
  <c r="F67" i="2"/>
  <c r="F68" i="2"/>
  <c r="F75" i="7"/>
  <c r="D57" i="7"/>
  <c r="D53" i="7"/>
  <c r="B85" i="7"/>
  <c r="C21" i="4" s="1"/>
  <c r="C18" i="4"/>
  <c r="F53" i="8"/>
  <c r="F38" i="8"/>
  <c r="F52" i="8" s="1"/>
  <c r="F57" i="8" s="1"/>
  <c r="F39" i="8"/>
  <c r="B85" i="9"/>
  <c r="D21" i="4" s="1"/>
  <c r="D18" i="4"/>
  <c r="E53" i="7"/>
  <c r="G53" i="7"/>
  <c r="C36" i="4" s="1"/>
  <c r="G57" i="9"/>
  <c r="D33" i="4"/>
  <c r="F53" i="7"/>
  <c r="D53" i="9"/>
  <c r="B66" i="9"/>
  <c r="D26" i="4" s="1"/>
  <c r="F75" i="9"/>
  <c r="G57" i="8"/>
  <c r="B33" i="4"/>
  <c r="G53" i="8"/>
  <c r="B36" i="4" s="1"/>
  <c r="D68" i="2" l="1"/>
  <c r="D67" i="2"/>
  <c r="D75" i="7"/>
  <c r="E53" i="8"/>
  <c r="G75" i="8"/>
  <c r="B71" i="8"/>
  <c r="B9" i="4" s="1"/>
  <c r="B70" i="8"/>
  <c r="B8" i="4" s="1"/>
  <c r="B69" i="8"/>
  <c r="B7" i="4" s="1"/>
  <c r="F75" i="8"/>
  <c r="C61" i="2"/>
  <c r="B71" i="7"/>
  <c r="C9" i="4" s="1"/>
  <c r="G67" i="2"/>
  <c r="B70" i="7"/>
  <c r="C8" i="4" s="1"/>
  <c r="B69" i="7"/>
  <c r="C7" i="4" s="1"/>
  <c r="G68" i="2"/>
  <c r="G75" i="7"/>
  <c r="E61" i="2"/>
  <c r="E75" i="8"/>
  <c r="C75" i="8"/>
  <c r="B73" i="8" s="1"/>
  <c r="B11" i="4" s="1"/>
  <c r="C60" i="8"/>
  <c r="C68" i="2"/>
  <c r="C67" i="2"/>
  <c r="C62" i="2" s="1"/>
  <c r="C75" i="7"/>
  <c r="C60" i="7"/>
  <c r="D32" i="4"/>
  <c r="C57" i="9"/>
  <c r="B69" i="9"/>
  <c r="D7" i="4" s="1"/>
  <c r="G75" i="9"/>
  <c r="C75" i="9" l="1"/>
  <c r="B73" i="9" s="1"/>
  <c r="D11" i="4" s="1"/>
  <c r="C60" i="9"/>
  <c r="B70" i="9"/>
  <c r="D8" i="4" s="1"/>
  <c r="B71" i="9"/>
  <c r="D9" i="4" s="1"/>
  <c r="B73" i="7"/>
  <c r="C11" i="4" s="1"/>
  <c r="D60" i="7"/>
  <c r="E60" i="7" s="1"/>
  <c r="F60" i="7" s="1"/>
  <c r="G60" i="7" s="1"/>
  <c r="E62" i="2"/>
  <c r="D60" i="8"/>
  <c r="E60" i="8" s="1"/>
  <c r="F60" i="8" s="1"/>
  <c r="G60" i="8" s="1"/>
  <c r="B79" i="8" l="1"/>
  <c r="B76" i="8"/>
  <c r="B12" i="4" s="1"/>
  <c r="B41" i="4"/>
  <c r="B76" i="7"/>
  <c r="C12" i="4" s="1"/>
  <c r="C41" i="4"/>
  <c r="B79" i="7"/>
  <c r="D60" i="9"/>
  <c r="E60" i="9" s="1"/>
  <c r="F60" i="9" s="1"/>
  <c r="G60" i="9" s="1"/>
  <c r="B76" i="9" l="1"/>
  <c r="D12" i="4" s="1"/>
  <c r="D41" i="4"/>
  <c r="B7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54" authorId="0" shapeId="0" xr:uid="{00000000-0006-0000-0200-000001000000}">
      <text>
        <r>
          <rPr>
            <sz val="10"/>
            <color rgb="FF000000"/>
            <rFont val="Arial"/>
            <family val="2"/>
          </rPr>
          <t xml:space="preserve">ANNEXES TO BE INCLUDED IN BUSINESS PLAN:
</t>
        </r>
        <r>
          <rPr>
            <sz val="10"/>
            <color rgb="FF000000"/>
            <rFont val="Arial"/>
            <family val="2"/>
          </rPr>
          <t xml:space="preserve">• Annex 1: Detailed description of why the app is considered 100% patentable (prior art analysis, neuromimetic novelty, NIR combination, practical application across 8 patent offices).
</t>
        </r>
        <r>
          <rPr>
            <sz val="10"/>
            <color rgb="FF000000"/>
            <rFont val="Arial"/>
            <family val="2"/>
          </rPr>
          <t>• Annex 2: Explanation of why FDA approval has a strong probability post-clinical trial (recommendation-only classification, low risk profile, adjunct-to-clinical-exam pathway, De Novo or 510(k) track).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8" authorId="0" shapeId="0" xr:uid="{00000000-0006-0000-0600-000002000000}">
      <text>
        <r>
          <rPr>
            <sz val="10"/>
            <rFont val="Arial"/>
            <family val="2"/>
          </rPr>
          <t>$100-500 range, using $300 average</t>
        </r>
      </text>
    </comment>
    <comment ref="A43" authorId="0" shapeId="0" xr:uid="{00000000-0006-0000-0600-000001000000}">
      <text>
        <r>
          <rPr>
            <sz val="10"/>
            <rFont val="Arial"/>
            <family val="2"/>
          </rPr>
          <t>ANGEL INVESTOR STRATEGY - STAGED CLINICAL TRIAL:
Phase 1 (Mini-Test): 100 women only — 50 confirmed cancer cases + 50 non-cancer controls, all validated by MRI.
Cost: ~$110K (1/3 of full trial) + $20K additional travel to Mexico for image capture = $130K total.
If Phase 1 successful → immediately proceed with remaining 200 women (full CI3M trial).
This structure MINIMIZES angel investor risk while maintaining a clear go/no-go decision point.
BUSINESS PLAN ANNEXES (to be included):
• Annex 1: Detailed explanation of why the app is considered 100% patentable across 8 major patent offices worldwide.
• Annex 2: Analysis of why the app has a strong probability of FDA approval post-clinical trial, based on its recommendation-only classification and precedents.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8" authorId="0" shapeId="0" xr:uid="{00000000-0006-0000-0700-000002000000}">
      <text>
        <r>
          <rPr>
            <sz val="10"/>
            <color rgb="FF000000"/>
            <rFont val="Arial"/>
            <family val="2"/>
          </rPr>
          <t>$100-500 range, using $300 average</t>
        </r>
      </text>
    </comment>
    <comment ref="A43" authorId="0" shapeId="0" xr:uid="{00000000-0006-0000-0700-000001000000}">
      <text>
        <r>
          <rPr>
            <sz val="10"/>
            <rFont val="Arial"/>
            <family val="2"/>
          </rPr>
          <t>ANGEL INVESTOR STRATEGY - STAGED CLINICAL TRIAL:
Phase 1 (Mini-Test): 100 women only — 50 confirmed cancer cases + 50 non-cancer controls, all validated by MRI.
Cost: ~$110K (1/3 of full trial) + $20K additional travel to Mexico for image capture = $130K total.
If Phase 1 successful → immediately proceed with remaining 200 women (full CI3M trial).
This structure MINIMIZES angel investor risk while maintaining a clear go/no-go decision point.
BUSINESS PLAN ANNEXES (to be included):
• Annex 1: Detailed explanation of why the app is considered 100% patentable across 8 major patent offices worldwide.
• Annex 2: Analysis of why the app has a strong probability of FDA approval post-clinical trial, based on its recommendation-only classification and precedents.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8" authorId="0" shapeId="0" xr:uid="{00000000-0006-0000-0800-000002000000}">
      <text>
        <r>
          <rPr>
            <sz val="10"/>
            <rFont val="Arial"/>
            <family val="2"/>
          </rPr>
          <t>$100-500 range, using $300 average</t>
        </r>
      </text>
    </comment>
    <comment ref="A43" authorId="0" shapeId="0" xr:uid="{00000000-0006-0000-0800-000001000000}">
      <text>
        <r>
          <rPr>
            <sz val="10"/>
            <rFont val="Arial"/>
            <family val="2"/>
          </rPr>
          <t>ANGEL INVESTOR STRATEGY - STAGED CLINICAL TRIAL:
Phase 1 (Mini-Test): 100 women only — 50 confirmed cancer cases + 50 non-cancer controls, all validated by MRI.
Cost: ~$110K (1/3 of full trial) + $20K additional travel to Mexico for image capture = $130K total.
If Phase 1 successful → immediately proceed with remaining 200 women (full CI3M trial).
This structure MINIMIZES angel investor risk while maintaining a clear go/no-go decision point.
BUSINESS PLAN ANNEXES (to be included):
• Annex 1: Detailed explanation of why the app is considered 100% patentable across 8 major patent offices worldwide.
• Annex 2: Analysis of why the app has a strong probability of FDA approval post-clinical trial, based on its recommendation-only classification and precedents.</t>
        </r>
      </text>
    </comment>
  </commentList>
</comments>
</file>

<file path=xl/sharedStrings.xml><?xml version="1.0" encoding="utf-8"?>
<sst xmlns="http://schemas.openxmlformats.org/spreadsheetml/2006/main" count="717" uniqueCount="469">
  <si>
    <t>VIDA-VITAL MODEL ENHANCEMENTS — LEGAL VALIDATION RATIONALE</t>
  </si>
  <si>
    <t>MODEL IMPROVEMENTS BASED ON ANNEX 1 (PATENTABILITY) &amp; ANNEX 2 (REGULATORY)</t>
  </si>
  <si>
    <t>Enhancement Type</t>
  </si>
  <si>
    <t>Legal Justification &amp; Investor Rationale</t>
  </si>
  <si>
    <t>1. Premium Wellness Tier ($39/year)</t>
  </si>
  <si>
    <t>ANNEX 1 confirms legally-verified patent moat. Premium tier (30% of users) justifies paying $39/year for: AI chatbot, 137 languages, priority support, family sharing. Blended price: $30.60 vs. baseline $27.00 (+13.3%). This is standard SaaS tiering — 23andMe charges $99-229 for premium health reports.</t>
  </si>
  <si>
    <t>2. Increased User Adoption (+18-20%)</t>
  </si>
  <si>
    <t>ANNEX 2 confirms FDA/EMA enforcement discretion (no approval needed). Legal certainty reduces user friction: (a) No regulatory risk headlines, (b) Immediate global launch, (c) 'Legally validated' marketing claims. Year 5: 1.12M users vs. 925K baseline. Penetration: 0.093% of SOM (still extremely conservative — 99.9% TAM untapped).</t>
  </si>
  <si>
    <t>3. Medical Pricing Unchanged ($50)</t>
  </si>
  <si>
    <t>Kept conservative: $50/user B2B assumes heavy volume discounts from insurance companies. No increase despite legal validation proving low-risk regulatory profile. This maintains credibility with VCs who know insurers negotiate hard.</t>
  </si>
  <si>
    <t>IMPACT ON KEY INVESTOR METRICS</t>
  </si>
  <si>
    <t>Metric</t>
  </si>
  <si>
    <t>NPV @ 30%</t>
  </si>
  <si>
    <t>$93.1M</t>
  </si>
  <si>
    <t>NPV @ 35%</t>
  </si>
  <si>
    <t>$76.1M</t>
  </si>
  <si>
    <t>Year 5 Revenue</t>
  </si>
  <si>
    <t>$42.5M</t>
  </si>
  <si>
    <t>Year 5 EBITDA</t>
  </si>
  <si>
    <t>$20.9M</t>
  </si>
  <si>
    <t>Year 5 Users</t>
  </si>
  <si>
    <t>Year 5 Penetration</t>
  </si>
  <si>
    <t>WHY IS HIGHLY CREDIBLE</t>
  </si>
  <si>
    <t>✓ Conservative Penetration</t>
  </si>
  <si>
    <t>0.093% of 1.2B SOM = 99.9% market untapped. 23andMe hit 1% in 10 years. We're projecting 0.09% in 5 years.</t>
  </si>
  <si>
    <t>✓ Premium Tier Standard</t>
  </si>
  <si>
    <t>SaaS tiering is industry standard. 23andMe: $99-229/year. Our premium: $39/year. Very defensible.</t>
  </si>
  <si>
    <t>✓ Legal Validation Unique</t>
  </si>
  <si>
    <t>Most health tech startups don't have 17-page legal patentability + FDA/EMA compliance analysis at Angel stage. This justifies faster adoption.</t>
  </si>
  <si>
    <t>✓ Medical Price Conservative</t>
  </si>
  <si>
    <t>$50/user B2B assumes insurance volume discounts. Competitors charge $100-300. We're low.</t>
  </si>
  <si>
    <t>VIDA-VITAL: ANGEL INVESTOR OPTIONS</t>
  </si>
  <si>
    <t>Two pathways to fund the CI3M Clinical Trial — choose based on your risk appetite &amp; conviction level</t>
  </si>
  <si>
    <t>★  Patent filing triggered automatically once first positive cohort results confirmed — independent of which option you choose  ★</t>
  </si>
  <si>
    <t>Notes</t>
  </si>
  <si>
    <t xml:space="preserve">  INVESTMENT OVERVIEW</t>
  </si>
  <si>
    <t>Initial commitment</t>
  </si>
  <si>
    <t>—</t>
  </si>
  <si>
    <t>Total if both phases complete</t>
  </si>
  <si>
    <t>Maximum downside (trial fails)</t>
  </si>
  <si>
    <t>Trial completion timeline</t>
  </si>
  <si>
    <t>~3 months</t>
  </si>
  <si>
    <t>~3 more months</t>
  </si>
  <si>
    <t>6 months guaranteed</t>
  </si>
  <si>
    <t>Same endpoint if Phase 1 succeeds</t>
  </si>
  <si>
    <t>Patients enrolled</t>
  </si>
  <si>
    <t>100 women</t>
  </si>
  <si>
    <t>100 more women</t>
  </si>
  <si>
    <t>200 women</t>
  </si>
  <si>
    <t>Patent filing trigger</t>
  </si>
  <si>
    <t>Month 3 (if positive)</t>
  </si>
  <si>
    <t>Included</t>
  </si>
  <si>
    <t>Month 4 (interim)</t>
  </si>
  <si>
    <t>Both options file in same 8 jurisdictions</t>
  </si>
  <si>
    <t>Series A readiness</t>
  </si>
  <si>
    <t>Conditional (if Ph2)</t>
  </si>
  <si>
    <t>Month 6</t>
  </si>
  <si>
    <t>Month 6 certain</t>
  </si>
  <si>
    <t>Option B guarantees Series A runway timing</t>
  </si>
  <si>
    <t xml:space="preserve">  💰  DETAILED USE OF FUNDS — ALL BUDGET LINES</t>
  </si>
  <si>
    <t>Category / Line Item</t>
  </si>
  <si>
    <t>⚡ Phase 1 ($130K)</t>
  </si>
  <si>
    <t>⚡ Phase 2 ($245K)</t>
  </si>
  <si>
    <t>🔵 Option B ($330K)</t>
  </si>
  <si>
    <t>Notes / Key Differences</t>
  </si>
  <si>
    <t>🔬  CLINICAL EXECUTION</t>
  </si>
  <si>
    <t xml:space="preserve">  ↳  Clinical Imaging &amp; Patient Logistics</t>
  </si>
  <si>
    <t xml:space="preserve">  ↳  Data Management &amp; Biostatistics</t>
  </si>
  <si>
    <t xml:space="preserve">  ↳  Image Capture &amp; Clinical Data Collection</t>
  </si>
  <si>
    <t xml:space="preserve">  ↳  Mexico Clinical Trial Supervision</t>
  </si>
  <si>
    <t>🛡️  RISK MITIGATION</t>
  </si>
  <si>
    <t>$30,000  (9%)</t>
  </si>
  <si>
    <t xml:space="preserve">  ↳  Clinical Trial Liability Insurance</t>
  </si>
  <si>
    <t xml:space="preserve">  ↳  Contingency Reserve</t>
  </si>
  <si>
    <t>Phase 2 buffer is higher due to complexity. Option B lower % acceptable (fewer unknowns)</t>
  </si>
  <si>
    <t>⚡  COMPETITIVE MOAT — IP PROTECTION</t>
  </si>
  <si>
    <t xml:space="preserve">  ↳  Patent Foundation / Global PCT Prosecution
     (USPTO · EPO · WIPO · J-PlatPat · CNIPA + 3)</t>
  </si>
  <si>
    <t>Ph1: US Provisional + PCT prep. Ph2: Full PCT conversion (8 jurisdictions). Option B files at Month 4 vs. Month 3 — immaterial to IP value</t>
  </si>
  <si>
    <t>🏢  OPERATIONAL FOUNDATION</t>
  </si>
  <si>
    <t>$10,000  (4%)</t>
  </si>
  <si>
    <t xml:space="preserve">  ↳  U.S. Corporate Structure (Delaware LLC + Governance)</t>
  </si>
  <si>
    <t>Operational deployment post-Phase 2. Option B: conditional on Series A (deferred)</t>
  </si>
  <si>
    <t>TOTAL INVESTMENT</t>
  </si>
  <si>
    <t xml:space="preserve">  ✅  PHASE 1 GO / NO-GO SUCCESS CRITERIA (Decision: 2 weeks after final enrollment)</t>
  </si>
  <si>
    <t>Criterion</t>
  </si>
  <si>
    <t>Threshold</t>
  </si>
  <si>
    <t>Rationale</t>
  </si>
  <si>
    <t>Sensitivity</t>
  </si>
  <si>
    <t>≥ 80%</t>
  </si>
  <si>
    <t>Detects 4 of 5 confirmed cancers</t>
  </si>
  <si>
    <t>Specificity</t>
  </si>
  <si>
    <t>≥ 70%</t>
  </si>
  <si>
    <t>Minimises false positives for patient safety</t>
  </si>
  <si>
    <t>Image quality</t>
  </si>
  <si>
    <t>≥ 95% usable scans</t>
  </si>
  <si>
    <t>Technical viability confirmed</t>
  </si>
  <si>
    <t>Patient compliance</t>
  </si>
  <si>
    <t>≥ 90% completion</t>
  </si>
  <si>
    <t>Protocol feasibility validated</t>
  </si>
  <si>
    <t>CI3M partnership</t>
  </si>
  <si>
    <t>Renewed commitment</t>
  </si>
  <si>
    <t>Site readiness confirmed for Phase 2</t>
  </si>
  <si>
    <t xml:space="preserve">  📊  COMPARATIVE CAPITAL EFFICIENCY vs. INDUSTRY BENCHMARK</t>
  </si>
  <si>
    <t>Phase</t>
  </si>
  <si>
    <t>Cost per Patient</t>
  </si>
  <si>
    <t>Industry Benchmark</t>
  </si>
  <si>
    <t>VIDA-VITAL Advantage</t>
  </si>
  <si>
    <t>Driver</t>
  </si>
  <si>
    <t>Option A — Phase 1</t>
  </si>
  <si>
    <t>$7,500</t>
  </si>
  <si>
    <t>CI3M partnership + streamlined protocol</t>
  </si>
  <si>
    <t>Option A — Phase 2</t>
  </si>
  <si>
    <t>Volume commitment + existing site infrastructure</t>
  </si>
  <si>
    <t>Option A — Blended</t>
  </si>
  <si>
    <t>Zero training data needed (neuromimetic NN)</t>
  </si>
  <si>
    <t>Option B — Blended</t>
  </si>
  <si>
    <t>Single deployment wave, parallel enrollment</t>
  </si>
  <si>
    <t xml:space="preserve">  ⚖️  RISK-ADJUSTED RETURN ANALYSIS</t>
  </si>
  <si>
    <t>Scenario</t>
  </si>
  <si>
    <t>⚡ Option A Outcome</t>
  </si>
  <si>
    <t>🔵 Option B Outcome</t>
  </si>
  <si>
    <t>Winner</t>
  </si>
  <si>
    <t>⚡ Option A</t>
  </si>
  <si>
    <t>🔵 Option B</t>
  </si>
  <si>
    <t>Trial succeeds (75% probability)</t>
  </si>
  <si>
    <t>Probability-weighted EV (75% success)</t>
  </si>
  <si>
    <t xml:space="preserve">  📈  PROJECTED RETURNS (Base Case — same for both options)</t>
  </si>
  <si>
    <t>Year 5 Net Revenue (Base Case)</t>
  </si>
  <si>
    <t>Year 5 Enterprise Value (8× Revenue)</t>
  </si>
  <si>
    <t>Total Investment (Angel + Series A)</t>
  </si>
  <si>
    <t>Option A: $130K angel + $245K + $5M Series A. Option B: $330K + $5M</t>
  </si>
  <si>
    <t>NPV @ 30% discount (incl. 8× exit)</t>
  </si>
  <si>
    <t>Both options deliver equivalent NPV — difference &lt;0.5%</t>
  </si>
  <si>
    <t>IRR (5-year)</t>
  </si>
  <si>
    <t>Based on modelled cash flows</t>
  </si>
  <si>
    <t>Return Multiple (8× exit)</t>
  </si>
  <si>
    <t>Option B slightly higher (lower total investment)</t>
  </si>
  <si>
    <t xml:space="preserve">  👤  ANGEL INVESTOR PROFILES — WHICH OPTION IS RIGHT FOR YOU?</t>
  </si>
  <si>
    <t xml:space="preserve">  ✓  First-time health tech angel</t>
  </si>
  <si>
    <t xml:space="preserve">  ✓  Experienced in clinical-stage investing</t>
  </si>
  <si>
    <t xml:space="preserve">  ✓  Portfolio requires hard stop-losses</t>
  </si>
  <si>
    <t xml:space="preserve">  ✓  Want to validate NIR clinical translation before full commitment</t>
  </si>
  <si>
    <t xml:space="preserve">  ✓  Value speed to Series A and guaranteed 6-month timeline</t>
  </si>
  <si>
    <t xml:space="preserve">  ✓  Prefer to "date before marrying" — 3-month binary test</t>
  </si>
  <si>
    <t>VIDA-VITAL: HYBRID WELLNESS → MEDICAL STRATEGY</t>
  </si>
  <si>
    <t>22-Year NASA-Validated Technology | Wellness First, FDA-Cleared Second</t>
  </si>
  <si>
    <t>THE UNFAIR ADVANTAGE: 22 YEARS OF NASA-VALIDATED R&amp;D</t>
  </si>
  <si>
    <t>100% PATENTABLE across 8 major patent offices worldwide:</t>
  </si>
  <si>
    <t xml:space="preserve">  • USPTO  • EPO  • WIPO (PATENTSCOPE)  • Espacenet</t>
  </si>
  <si>
    <t xml:space="preserve">  • The Lens  • J-PlatPat  • CNIPA  • Google Patents</t>
  </si>
  <si>
    <t>Patentability Reasons:</t>
  </si>
  <si>
    <t xml:space="preserve">  1. Not found in prior art (22-year head start)</t>
  </si>
  <si>
    <t xml:space="preserve">  2. Unique neuromimetic + NIR combination</t>
  </si>
  <si>
    <t xml:space="preserve">  3. Practical market application (breast health)</t>
  </si>
  <si>
    <t>CRITICAL REGULATORY DISTINCTION: RECOMMENDATION-ONLY (NOT DIAGNOSTIC)</t>
  </si>
  <si>
    <t>The app ONLY recommends actions - it does NOT diagnose, treat, or provide medical advice:</t>
  </si>
  <si>
    <t xml:space="preserve">  • IF anomalies detected → Recommends: 'Please consult a specialist for evaluation'</t>
  </si>
  <si>
    <t xml:space="preserve">  • IF no anomalies detected → Reminds: 'WHO recommends annual specialist visit'</t>
  </si>
  <si>
    <t xml:space="preserve">  • Does NOT touch skin, does NOT provide treatment, does NOT give medical advice</t>
  </si>
  <si>
    <t xml:space="preserve">  • This keeps it in WELLNESS category (FDA/EMA exempt, immediate distribution)</t>
  </si>
  <si>
    <t>CRITICAL: Even post-FDA clearance, the app remains recommendation-only:</t>
  </si>
  <si>
    <t xml:space="preserve">  • FDA clearance = 'adjunct to clinical examination' (aids doctors, does NOT diagnose)
  • App still says: 'Recommend specialist examination' (never 'You have cancer')
  • Doctors use it as decision support tool — final diagnosis remains with physician
  • This keeps liability low and maintains wellness app user experience</t>
  </si>
  <si>
    <t xml:space="preserve">  ✓ Neuromimetic neural network (not machine learning)</t>
  </si>
  <si>
    <t xml:space="preserve">  ✓ Zero training required (no datasets needed)</t>
  </si>
  <si>
    <t xml:space="preserve">  ✓ NIR detection of angiogenic processes</t>
  </si>
  <si>
    <t xml:space="preserve">  ✓ Detects invisible skin color changes</t>
  </si>
  <si>
    <t xml:space="preserve">  ✓ Recommendation-only (wellness compliant)</t>
  </si>
  <si>
    <t>HYBRID MODEL: WELLNESS FIRST, MEDICAL SECOND (23andMe Playbook)</t>
  </si>
  <si>
    <t>Classification</t>
  </si>
  <si>
    <t>Revenue Model</t>
  </si>
  <si>
    <t>Timeline</t>
  </si>
  <si>
    <t>Phase 1: Wellness</t>
  </si>
  <si>
    <t xml:space="preserve">  Claims:</t>
  </si>
  <si>
    <t>"recordatory visit an specilist for breast health , wellness and empowering"</t>
  </si>
  <si>
    <t>"Recommend specialist"</t>
  </si>
  <si>
    <t>FDA exempt</t>
  </si>
  <si>
    <t>Phase 2: FDA-Cleared</t>
  </si>
  <si>
    <t>"Breast cancer risk assessment"</t>
  </si>
  <si>
    <t>"Adjunct to mammography"</t>
  </si>
  <si>
    <t>510(k) or De Novo</t>
  </si>
  <si>
    <t>REALISTIC 5-YEAR PROJECTIONS (Conservative, VC-credible — see scenario sheets for details)</t>
  </si>
  <si>
    <t>Year</t>
  </si>
  <si>
    <t>Wellness Users</t>
  </si>
  <si>
    <t>Medical Users</t>
  </si>
  <si>
    <t>Revenue Mix</t>
  </si>
  <si>
    <t>Total Revenue</t>
  </si>
  <si>
    <t>Year 1</t>
  </si>
  <si>
    <t>~$1.0M</t>
  </si>
  <si>
    <t>Year 2</t>
  </si>
  <si>
    <t>~$3.3M</t>
  </si>
  <si>
    <t>Year 3</t>
  </si>
  <si>
    <t>~$8.4M</t>
  </si>
  <si>
    <t>Year 4</t>
  </si>
  <si>
    <t>~$21M</t>
  </si>
  <si>
    <t>Year 5</t>
  </si>
  <si>
    <t>~$42.5M</t>
  </si>
  <si>
    <t>Key Insight: Medical direct B2B sales start Year 2 post-clinical trial — 5-10x revenue vs wellness</t>
  </si>
  <si>
    <t xml:space="preserve">  💰  INVESTMENT ASK &amp; STAGED CAPITAL</t>
  </si>
  <si>
    <t>⚡  ANGEL ROUND — Option A (Staged)  |  Minimum risk entry</t>
  </si>
  <si>
    <t>🔵  ANGEL ROUND — Option B (Full Trial)  |  Single commitment, lowest total cost</t>
  </si>
  <si>
    <t>🚀  SERIES A — $5,000,000</t>
  </si>
  <si>
    <t>$5.0M</t>
  </si>
  <si>
    <t xml:space="preserve">      Wellness app scale-up  ·  Medical insurance pilots  ·  B2B sales team build-out</t>
  </si>
  <si>
    <t xml:space="preserve">  TOTAL CAPITAL  (Angel + Series A)</t>
  </si>
  <si>
    <t xml:space="preserve">  ★  Path to $42.5M Net Revenue  ·  NPV @ 30% ≈ $93M  ·  IRR ≈ 129%  ·  Return Multiple ≈ 64x</t>
  </si>
  <si>
    <t>FINANCIAL METRICS SUMMARY</t>
  </si>
  <si>
    <t>All Key VC Investment Metrics - 3 Scenario Comparison</t>
  </si>
  <si>
    <t>INVESTMENT RETURNS &amp; VALUATION</t>
  </si>
  <si>
    <t>Conservative</t>
  </si>
  <si>
    <t>Base Case</t>
  </si>
  <si>
    <t>Aggressive</t>
  </si>
  <si>
    <t>Benchmark</t>
  </si>
  <si>
    <t>NPV @ 30% Discount</t>
  </si>
  <si>
    <t>Incl. 8x exit at Y5</t>
  </si>
  <si>
    <t>NPV @ 35% Discount</t>
  </si>
  <si>
    <t>NPV @ 40% Discount</t>
  </si>
  <si>
    <t>&gt;40% target</t>
  </si>
  <si>
    <t>ROI (incl. 8x exit)</t>
  </si>
  <si>
    <t>&gt;10x excellent</t>
  </si>
  <si>
    <t>Total Investment</t>
  </si>
  <si>
    <t>Payback Period</t>
  </si>
  <si>
    <t>&lt;3 years good</t>
  </si>
  <si>
    <t>Y5 Valuation (5x Revenue)</t>
  </si>
  <si>
    <t>Y5 Valuation (8x Revenue)</t>
  </si>
  <si>
    <t>Digital health avg</t>
  </si>
  <si>
    <t>Y5 Valuation (10x Revenue)</t>
  </si>
  <si>
    <t>SaaS premium</t>
  </si>
  <si>
    <t>Return Multiple (8x)</t>
  </si>
  <si>
    <t>&gt;5x good</t>
  </si>
  <si>
    <t>GROWTH &amp; PROFITABILITY METRICS</t>
  </si>
  <si>
    <t>Revenue CAGR (Y1-Y5)</t>
  </si>
  <si>
    <t>&gt;50% excellent</t>
  </si>
  <si>
    <t>User CAGR (Y1-Y5)</t>
  </si>
  <si>
    <t>&gt;40% strong</t>
  </si>
  <si>
    <t>Year 1 Revenue</t>
  </si>
  <si>
    <t>&gt;$100M unicorn path</t>
  </si>
  <si>
    <t>Year 1 EBITDA</t>
  </si>
  <si>
    <t>Year 1 EBITDA Margin</t>
  </si>
  <si>
    <t>Year 5 EBITDA Margin</t>
  </si>
  <si>
    <t>&gt;40% excellent</t>
  </si>
  <si>
    <t>Year 5 Total Users</t>
  </si>
  <si>
    <t>Year 5 Market Penetration</t>
  </si>
  <si>
    <t>&lt;1% realistic</t>
  </si>
  <si>
    <t>Year 5 Cumulative Cash</t>
  </si>
  <si>
    <t>Positive = sustainable</t>
  </si>
  <si>
    <t>UNIT ECONOMICS (BASE CASE)</t>
  </si>
  <si>
    <t>Wellness</t>
  </si>
  <si>
    <t>Medical</t>
  </si>
  <si>
    <t>Blended</t>
  </si>
  <si>
    <t>Annual Price</t>
  </si>
  <si>
    <t>$30.60 (Y1)</t>
  </si>
  <si>
    <t>$50.00 (B2B)</t>
  </si>
  <si>
    <t>~$31-33</t>
  </si>
  <si>
    <t>Medical = 1.6x premium; direct B2B sales from Year 2</t>
  </si>
  <si>
    <t>Renewal Price</t>
  </si>
  <si>
    <t>$27.54 (Y2+)</t>
  </si>
  <si>
    <t>$50.00</t>
  </si>
  <si>
    <t>10% wellness discount</t>
  </si>
  <si>
    <t>Platform Fee</t>
  </si>
  <si>
    <t>30% → 27%</t>
  </si>
  <si>
    <t>15%</t>
  </si>
  <si>
    <t>Apple/Google</t>
  </si>
  <si>
    <t>Affiliate Fee</t>
  </si>
  <si>
    <t>26%</t>
  </si>
  <si>
    <t>0%</t>
  </si>
  <si>
    <t>Performance-based</t>
  </si>
  <si>
    <t>Net Revenue/User</t>
  </si>
  <si>
    <t>$13.46</t>
  </si>
  <si>
    <t>$42.50</t>
  </si>
  <si>
    <t>After all fees</t>
  </si>
  <si>
    <t>COGS per User</t>
  </si>
  <si>
    <t>$1.20</t>
  </si>
  <si>
    <t>Server + support + security</t>
  </si>
  <si>
    <t>Gross Margin</t>
  </si>
  <si>
    <t>91.1%</t>
  </si>
  <si>
    <t>97.2%</t>
  </si>
  <si>
    <t>91-97%</t>
  </si>
  <si>
    <t>Excellent</t>
  </si>
  <si>
    <t>CAC (Customer Acq)</t>
  </si>
  <si>
    <t>$0</t>
  </si>
  <si>
    <t>$50-100</t>
  </si>
  <si>
    <t>Wellness = performance-based</t>
  </si>
  <si>
    <t>LTV (5-year retention)</t>
  </si>
  <si>
    <t>$55-65</t>
  </si>
  <si>
    <t>$212.50</t>
  </si>
  <si>
    <t>Medical = higher retention</t>
  </si>
  <si>
    <t>LTV:CAC Ratio</t>
  </si>
  <si>
    <t>Infinite</t>
  </si>
  <si>
    <t>2-4x</t>
  </si>
  <si>
    <t>&gt;3x is good  ⚠ Medical at 2-4x; improve via volume contracts</t>
  </si>
  <si>
    <t>REGULATORY COMPLIANCE: WELLNESS/RECOMMENDATION-ONLY</t>
  </si>
  <si>
    <t>CRITICAL: APP IS RECOMMENDATION-ONLY (NOT DIAGNOSTIC/THERAPEUTIC)</t>
  </si>
  <si>
    <t>WHAT THE APP DOES:</t>
  </si>
  <si>
    <t>✓ Detects vascular anomalies using NIR technology</t>
  </si>
  <si>
    <t>Technical capability (not a medical claim)</t>
  </si>
  <si>
    <t>✓ IF anomalies detected → Recommends: 'Please consult a specialist'</t>
  </si>
  <si>
    <t>Recommendation only, no diagnosis</t>
  </si>
  <si>
    <t>✓ IF no anomalies → Reminds: 'WHO recommends annual specialist visit'</t>
  </si>
  <si>
    <t>General health guidance, not medical advice</t>
  </si>
  <si>
    <t>✓ Provides health education in 137 languages (EME chatbot)</t>
  </si>
  <si>
    <t>Educational content, not medical advice</t>
  </si>
  <si>
    <t>✓ Helps locate nearby specialists</t>
  </si>
  <si>
    <t>Informational service</t>
  </si>
  <si>
    <t>POST-FDA STATUS (if cleared as 'adjunct to clinical examination'):</t>
  </si>
  <si>
    <t>✓ Still recommendation-only</t>
  </si>
  <si>
    <t>App says 'recommend examination' — never diagnoses</t>
  </si>
  <si>
    <t>✓ Aids doctors, NOT patients</t>
  </si>
  <si>
    <t>Decision support tool — final diagnosis with physician</t>
  </si>
  <si>
    <t>WHAT THE APP DOES NOT DO:</t>
  </si>
  <si>
    <t>✗ Does NOT diagnose any disease or condition</t>
  </si>
  <si>
    <t>CRITICAL: Maintains wellness status</t>
  </si>
  <si>
    <t>✗ Does NOT provide medical advice or treatment plans</t>
  </si>
  <si>
    <t>✗ Does NOT touch or treat skin</t>
  </si>
  <si>
    <t>No therapeutic intervention</t>
  </si>
  <si>
    <t>✗ Does NOT claim to detect/diagnose cancer</t>
  </si>
  <si>
    <t>Uses safe term: 'vascular anomalies'</t>
  </si>
  <si>
    <t>✗ Does NOT replace professional medical examination</t>
  </si>
  <si>
    <t>Always defers to specialists</t>
  </si>
  <si>
    <t>✗ Does NOT tell users whether they have cancer</t>
  </si>
  <si>
    <t>Only recommends specialist consultation</t>
  </si>
  <si>
    <t>✗ Does NOT suggest treatment or medication</t>
  </si>
  <si>
    <t>REGULATORY CLASSIFICATION RATIONALE</t>
  </si>
  <si>
    <t>FDA General Wellness Policy (2019)</t>
  </si>
  <si>
    <t>Products that encourage/maintain general wellness and pose low risk</t>
  </si>
  <si>
    <t>Our Compliance:</t>
  </si>
  <si>
    <t>✓ Only provides information/recommendations</t>
  </si>
  <si>
    <t>✓ Does not diagnose disease or condition</t>
  </si>
  <si>
    <t>✓ Low risk (no harm even if wrong)</t>
  </si>
  <si>
    <t>✓ User remains responsible for seeking medical care</t>
  </si>
  <si>
    <t>FDA 21 CFR Part 880.6310</t>
  </si>
  <si>
    <t>Clinical decision support software (CDS) - if claiming 'support'</t>
  </si>
  <si>
    <t>Our Position:</t>
  </si>
  <si>
    <t>✗ We do NOT claim to support clinical decisions</t>
  </si>
  <si>
    <t>✓ We only recommend 'see a specialist' (general advice)</t>
  </si>
  <si>
    <t>EMA MDR Classification</t>
  </si>
  <si>
    <t>Wellness apps exempt if no medical claims</t>
  </si>
  <si>
    <t>✓ No claims to diagnose, treat, prevent disease</t>
  </si>
  <si>
    <t>APPROVED MARKETING LANGUAGE</t>
  </si>
  <si>
    <t>✓ SAFE:</t>
  </si>
  <si>
    <t>'Detects vascular anomalies associated with breast health concerns'</t>
  </si>
  <si>
    <t>✗ UNSAFE:</t>
  </si>
  <si>
    <t>'Detects breast cancer' (medical claim)</t>
  </si>
  <si>
    <t>'Recommends consultation with a specialist'</t>
  </si>
  <si>
    <t>'Diagnoses breast conditions' (medical claim)</t>
  </si>
  <si>
    <t>'Reminds you of WHO annual screening recommendations'</t>
  </si>
  <si>
    <t>'Replaces mammography' (medical claim)</t>
  </si>
  <si>
    <t>Provides breast health insights'</t>
  </si>
  <si>
    <t>✓ Detects vascular anomalies using NIR technology and neuromimetic nerural networs</t>
  </si>
  <si>
    <t>CRITICAL: Avoids FDA/EMA medical device classification</t>
  </si>
  <si>
    <t>BASE CASE: REALISTIC HYBRID MODEL (Wellness → Medical)</t>
  </si>
  <si>
    <t>MARKET</t>
  </si>
  <si>
    <t>TAM (women globally)</t>
  </si>
  <si>
    <t>SOM (80% smartphone)</t>
  </si>
  <si>
    <t>USER ACQUISITION</t>
  </si>
  <si>
    <t>Wellness Users (DTC)</t>
  </si>
  <si>
    <t>Medical Users (Direct B2B - post-clinical trial)</t>
  </si>
  <si>
    <t>Total Users</t>
  </si>
  <si>
    <t>Penetration of SOM</t>
  </si>
  <si>
    <t>PRICING</t>
  </si>
  <si>
    <t>Wellness Price (DTC)</t>
  </si>
  <si>
    <t>Wellness Renewal (10% discount)</t>
  </si>
  <si>
    <t>Medical Price (B2B avg)</t>
  </si>
  <si>
    <t xml:space="preserve">  ↳ Medical device priced low ($50/user) to incentivize medical insurance companies to adopt and distribute to their customers at scale</t>
  </si>
  <si>
    <t>Apple/Google Commission</t>
  </si>
  <si>
    <t>Affiliate Commission (avg)</t>
  </si>
  <si>
    <t>REVENUE</t>
  </si>
  <si>
    <t>Wellness Gross Revenue</t>
  </si>
  <si>
    <t>Medical Gross Revenue</t>
  </si>
  <si>
    <t>Total Gross Revenue</t>
  </si>
  <si>
    <t>Wellness: Apple/Google (30%/27%)</t>
  </si>
  <si>
    <t>Wellness: Affiliate (7.5%)</t>
  </si>
  <si>
    <t>Medical: Apple/Google B2B (15%)</t>
  </si>
  <si>
    <t>NET REVENUE</t>
  </si>
  <si>
    <t>COST OF REVENUE</t>
  </si>
  <si>
    <t>Server &amp; Cloud</t>
  </si>
  <si>
    <t>Customer Support</t>
  </si>
  <si>
    <t>Data Security</t>
  </si>
  <si>
    <t>Total COGS</t>
  </si>
  <si>
    <t>Gross Profit</t>
  </si>
  <si>
    <t>Gross Margin %</t>
  </si>
  <si>
    <t>OPERATING EXPENSES</t>
  </si>
  <si>
    <t>R&amp;D</t>
  </si>
  <si>
    <t>Clinical Trial Phase 1 (Mini-Test: 100 women)</t>
  </si>
  <si>
    <t>Patent Filing &amp; IP (PCT, 8 offices)</t>
  </si>
  <si>
    <t xml:space="preserve">  ↳ Pre-Angel: US Provisional filed for ~$3K (patent pending before fundraising). Angel funds convert to full PCT international.</t>
  </si>
  <si>
    <t>Marketing &amp; Sales (DTC)</t>
  </si>
  <si>
    <t>Sales (B2B Medical)</t>
  </si>
  <si>
    <t>General &amp; Administrative</t>
  </si>
  <si>
    <t>Total OpEx</t>
  </si>
  <si>
    <t>EBITDA</t>
  </si>
  <si>
    <t>EBITDA Margin %</t>
  </si>
  <si>
    <t>CASH FLOW</t>
  </si>
  <si>
    <t>CapEx</t>
  </si>
  <si>
    <t>Free Cash Flow</t>
  </si>
  <si>
    <t>Funding Raised</t>
  </si>
  <si>
    <t>Cumulative Cash</t>
  </si>
  <si>
    <t>KEY FINANCIAL METRICS</t>
  </si>
  <si>
    <t>NPV @ 30% Discount Rate (incl. 8x Revenue Exit)</t>
  </si>
  <si>
    <t>NPV @ 35% Discount Rate (incl. 8x Revenue Exit)</t>
  </si>
  <si>
    <t>NPV @ 40% Discount Rate (incl. 8x Revenue Exit)</t>
  </si>
  <si>
    <t>IRR (Internal Rate of Return)</t>
  </si>
  <si>
    <t>Cash Flows for IRR (incl. exit)</t>
  </si>
  <si>
    <t>ROI on Investment (incl. 8x Revenue Exit)</t>
  </si>
  <si>
    <t>Total Investment Required</t>
  </si>
  <si>
    <t>Payback Period (first year cum. cash positive)</t>
  </si>
  <si>
    <t>Y5 Enterprise Value (5x Net Revenue)</t>
  </si>
  <si>
    <t>Y5 Enterprise Value (8x Net Revenue)</t>
  </si>
  <si>
    <t>Y5 Enterprise Value (10x Net Revenue)</t>
  </si>
  <si>
    <t>Return Multiple on Investment (8x Revenue EV / Investment)</t>
  </si>
  <si>
    <t>CONSERVATIVE SCENARIO: 80% of Base Case Adoption</t>
  </si>
  <si>
    <t>FDA Submission &amp; Regulatory</t>
  </si>
  <si>
    <t>AGGRESSIVE SCENARIO: 140% of Base Case Adoption</t>
  </si>
  <si>
    <t>FDA  Regulatory Lawyer confirmation</t>
  </si>
  <si>
    <t>----</t>
  </si>
  <si>
    <t>$135,000  (32%)</t>
  </si>
  <si>
    <t xml:space="preserve">Full 200-patient dataset </t>
  </si>
  <si>
    <t>Option A: 100/100 split ($600/scan). Option B: 200 bulk at $525/scan — saves $15K vs staged</t>
  </si>
  <si>
    <t>Option B: dedicated 4-month team + VIDA-VITAL hardware for faster throughput</t>
  </si>
  <si>
    <t>Option B enhanced: Share agreements + cybersecurity insurance ,FDA exclusion  legal confirmation</t>
  </si>
  <si>
    <t>“Blinded observational study”</t>
  </si>
  <si>
    <t>Trial fails at patient 100</t>
  </si>
  <si>
    <t>Feasibility / usability / correlation study</t>
  </si>
  <si>
    <t>Instead of diagnostic validation.</t>
  </si>
  <si>
    <t>Example purpose:</t>
  </si>
  <si>
    <t>Evaluate whether the app can encourage timely specialist consultation and correlate visual patterns with MRI findings (exploratory).</t>
  </si>
  <si>
    <t>Option B saves $55K vs Option A total (13% savings)</t>
  </si>
  <si>
    <t>🔵  OPTION B — Full Trial
($365,000 · Single Commitment · 6 months)</t>
  </si>
  <si>
    <t>⚡  OPTION A — Phase 2
($300,000 · if Phase 1 ✅ · Months 3–6)</t>
  </si>
  <si>
    <t>⚡  OPTION A — Phase 1
($120,000 · 3 months · Go/No-Go)</t>
  </si>
  <si>
    <t>$135,000  (37%)</t>
  </si>
  <si>
    <t>$30,000  (25%)</t>
  </si>
  <si>
    <t>$30,000  (10%)</t>
  </si>
  <si>
    <t>$30,000  (8%)</t>
  </si>
  <si>
    <t>$165,000  (45%)</t>
  </si>
  <si>
    <t>$100,000  (33%)</t>
  </si>
  <si>
    <t>$120,000  (75%)</t>
  </si>
  <si>
    <t>Option A: pay $120K now, decide at month 3</t>
  </si>
  <si>
    <t>Option A limits worst-case loss by 29%</t>
  </si>
  <si>
    <t>bio stadistic data analisis report</t>
  </si>
  <si>
    <t>Option A: 2 trips × 6 weeks = $20K total. Option B: 1 continuous 4-month deployment = $20K</t>
  </si>
  <si>
    <t>84% below benchmark</t>
  </si>
  <si>
    <t>60% below benchmark</t>
  </si>
  <si>
    <t>76% below benchmark</t>
  </si>
  <si>
    <t>72% below benchmark</t>
  </si>
  <si>
    <t>Lose $120K — stop</t>
  </si>
  <si>
    <t>Lose $120K + $300K = $420K</t>
  </si>
  <si>
    <t>Spend $365K, Series A Month 6</t>
  </si>
  <si>
    <t>Spend $420K, Series A Month 6</t>
  </si>
  <si>
    <t>$420K expected cost</t>
  </si>
  <si>
    <t>Lose $365K — stop</t>
  </si>
  <si>
    <t>Lose $365K</t>
  </si>
  <si>
    <t>$365K expected cost</t>
  </si>
  <si>
    <t>Choose OPTION A ($120K → $420K) if:</t>
  </si>
  <si>
    <t xml:space="preserve">  ✓  Understand $55K savings = more equity value at exit</t>
  </si>
  <si>
    <t>Choose OPTION B ($365K) if:</t>
  </si>
  <si>
    <t>Option A Total if successful: $420,000  |  Option B saves $55,000 (13%) — one commitment, same 6-month finish</t>
  </si>
  <si>
    <t xml:space="preserve">  ✓  Convicted by 22-year NASA-validated track record , using it 25 years developing medical aplication algorithms</t>
  </si>
  <si>
    <t>💡  PITCH FRAMING
"$120K buys a binary bet on clinical validation with a 3-month checkpoint. Hit 80% sensitivity → invest $300K more to lock in global patents . Miss → stop at $120K (63% less risk than committing upfront)."
"Option B is for angels who've done the diligence and believe in the physics. You save $55K, eliminate the checkpoint delay, and guarantee Series A timing at Month 6. The $245K additional exposure buys certainty — and certainty is worth more than the staged premium when the technology is already NASA-validated."</t>
  </si>
  <si>
    <t>VIDA-VITAL app ,  is a Preventive health awareness tool</t>
  </si>
  <si>
    <t>25 years ago, we validated neuromimetic neural networks, earning a patent that advances NASA's RETINET technology. While competitors train AI on GPUs, we've perfected architectures that don't require training—validated for NASA satellite imaging, now applied to human health.</t>
  </si>
  <si>
    <t>$120K → $420K</t>
  </si>
  <si>
    <t>$365K</t>
  </si>
  <si>
    <t xml:space="preserve">     Phase 1:  100 women  (50 confirmed cancer  +  50 non-cancer, all MRI-validated)  ·  Cost: $120K clinical  +  $20K travel to Mexico for image capture  =  $140K initial commitment  ·  Go / No-Go checkpoint after Phase 1 results</t>
  </si>
  <si>
    <t xml:space="preserve">     ↳  If Phase 1 positive  →  proceed immediately with remaining 200 women  (+$300K)  =  $420K total  ·  Patent filing triggered automatically upon first 100-woman positive result</t>
  </si>
  <si>
    <t xml:space="preserve">     ↳  All 200 women in one commitment  ·  $55K less expensive than Option A total  ·  Patent also triggered after first 100 women show positive results</t>
  </si>
  <si>
    <t>$5.365M – $5.420M  |  2 years  |  Capital efficient</t>
  </si>
  <si>
    <t>$5.365M</t>
  </si>
  <si>
    <r>
      <t>CRITICAL:</t>
    </r>
    <r>
      <rPr>
        <i/>
        <sz val="9"/>
        <color rgb="FFFF0000"/>
        <rFont val="Cambria"/>
        <family val="1"/>
      </rPr>
      <t xml:space="preserve">EXCEMPT </t>
    </r>
    <r>
      <rPr>
        <i/>
        <sz val="9"/>
        <rFont val="Cambria"/>
        <family val="1"/>
        <charset val="1"/>
      </rPr>
      <t xml:space="preserve"> FDA/EMA medical device LOW RISK classification</t>
    </r>
  </si>
  <si>
    <t xml:space="preserve">  ↳  Chile Pilot Opportunity: Scalable Mobile Mammography Platform Targeting Underserved Rural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</si>
</sst>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164" formatCode="\$#,##0"/>
    <numFmt numFmtId="165" formatCode="&quot;Phase 1: $&quot;#,##0"/>
    <numFmt numFmtId="166" formatCode="&quot;Phase 2: $&quot;#,##0"/>
    <numFmt numFmtId="167" formatCode="&quot;Option B: $&quot;#,##0"/>
    <numFmt numFmtId="168" formatCode="0.0%"/>
    <numFmt numFmtId="169" formatCode="0.00\×"/>
    <numFmt numFmtId="170" formatCode="\$#,##0_);&quot;($&quot;#,##0\)"/>
    <numFmt numFmtId="171" formatCode="0.0%_);\(0.0%\)"/>
    <numFmt numFmtId="172" formatCode="0.0\x"/>
    <numFmt numFmtId="173" formatCode="\$#,##0.00_);[Red]&quot;($&quot;#,##0.00\)"/>
    <numFmt numFmtId="174" formatCode="0.000%"/>
    <numFmt numFmtId="175" formatCode="\$#,##0.00"/>
    <numFmt numFmtId="176" formatCode="\$0.00"/>
    <numFmt numFmtId="177" formatCode="[$$-409]#,##0.00;[Red]\-[$$-409]#,##0.00"/>
  </numFmts>
  <fonts count="57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  <charset val="1"/>
    </font>
    <font>
      <b/>
      <sz val="12"/>
      <color rgb="FF2F3C7E"/>
      <name val="Arial"/>
      <family val="2"/>
      <charset val="1"/>
    </font>
    <font>
      <b/>
      <sz val="10"/>
      <name val="Cambria"/>
      <family val="1"/>
      <charset val="1"/>
    </font>
    <font>
      <sz val="10"/>
      <name val="Arial"/>
      <family val="2"/>
      <charset val="1"/>
    </font>
    <font>
      <b/>
      <sz val="10"/>
      <color rgb="FF00B050"/>
      <name val="Cambria"/>
      <family val="1"/>
      <charset val="1"/>
    </font>
    <font>
      <b/>
      <sz val="18"/>
      <color rgb="FFFFFFFF"/>
      <name val="Arial"/>
      <family val="2"/>
    </font>
    <font>
      <sz val="10"/>
      <color rgb="FFFFFFFF"/>
      <name val="Arial"/>
      <family val="2"/>
    </font>
    <font>
      <b/>
      <sz val="9"/>
      <color rgb="FF7F4F0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9"/>
      <color rgb="FF59595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595959"/>
      <name val="Arial"/>
      <family val="2"/>
    </font>
    <font>
      <sz val="9"/>
      <color rgb="FFAAAAAA"/>
      <name val="Arial"/>
      <family val="2"/>
    </font>
    <font>
      <b/>
      <sz val="9"/>
      <color rgb="FF1F4E79"/>
      <name val="Arial"/>
      <family val="2"/>
    </font>
    <font>
      <b/>
      <sz val="9"/>
      <color rgb="FF000000"/>
      <name val="Arial"/>
      <family val="2"/>
    </font>
    <font>
      <b/>
      <sz val="9"/>
      <color rgb="FF1A6B3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"/>
      <color rgb="FFFFFFFF"/>
      <name val="Cambria"/>
      <family val="1"/>
    </font>
    <font>
      <sz val="10"/>
      <color rgb="FF1F4E79"/>
      <name val="Arial"/>
      <family val="2"/>
    </font>
    <font>
      <b/>
      <sz val="16"/>
      <color rgb="FFFFFFFF"/>
      <name val="Cambria"/>
      <family val="1"/>
      <charset val="1"/>
    </font>
    <font>
      <i/>
      <sz val="10"/>
      <name val="Cambria"/>
      <family val="1"/>
      <charset val="1"/>
    </font>
    <font>
      <b/>
      <sz val="11"/>
      <name val="Arial"/>
      <family val="2"/>
      <charset val="1"/>
    </font>
    <font>
      <sz val="10"/>
      <name val="Cambria"/>
      <family val="1"/>
      <charset val="1"/>
    </font>
    <font>
      <b/>
      <sz val="9"/>
      <name val="Cambria"/>
      <family val="1"/>
      <charset val="1"/>
    </font>
    <font>
      <i/>
      <sz val="9"/>
      <name val="Cambria"/>
      <family val="1"/>
      <charset val="1"/>
    </font>
    <font>
      <b/>
      <sz val="10"/>
      <color rgb="FFC00000"/>
      <name val="Cambria"/>
      <family val="1"/>
      <charset val="1"/>
    </font>
    <font>
      <b/>
      <sz val="9"/>
      <color rgb="FF00B050"/>
      <name val="Cambria"/>
      <family val="1"/>
      <charset val="1"/>
    </font>
    <font>
      <b/>
      <sz val="11"/>
      <color rgb="FFFFFFFF"/>
      <name val="Arial"/>
      <family val="2"/>
      <charset val="1"/>
    </font>
    <font>
      <sz val="9"/>
      <name val="Cambria"/>
      <family val="1"/>
      <charset val="1"/>
    </font>
    <font>
      <i/>
      <sz val="10"/>
      <color rgb="FF00B050"/>
      <name val="Cambria"/>
      <family val="1"/>
      <charset val="1"/>
    </font>
    <font>
      <b/>
      <sz val="10"/>
      <color rgb="FF1F4E79"/>
      <name val="Arial"/>
      <family val="2"/>
      <charset val="1"/>
    </font>
    <font>
      <sz val="9"/>
      <color rgb="FF404040"/>
      <name val="Arial"/>
      <family val="2"/>
      <charset val="1"/>
    </font>
    <font>
      <i/>
      <sz val="9"/>
      <color rgb="FF595959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i/>
      <sz val="9"/>
      <color rgb="FF7F4F00"/>
      <name val="Arial"/>
      <family val="2"/>
      <charset val="1"/>
    </font>
    <font>
      <b/>
      <sz val="12"/>
      <color rgb="FFC00000"/>
      <name val="Cambria"/>
      <family val="1"/>
      <charset val="1"/>
    </font>
    <font>
      <b/>
      <sz val="10"/>
      <color rgb="FF1F4E78"/>
      <name val="Cambria"/>
      <family val="1"/>
      <charset val="1"/>
    </font>
    <font>
      <b/>
      <sz val="9"/>
      <color rgb="FFC00000"/>
      <name val="Cambria"/>
      <family val="1"/>
      <charset val="1"/>
    </font>
    <font>
      <b/>
      <sz val="11"/>
      <color theme="0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mbria"/>
      <family val="1"/>
      <charset val="1"/>
    </font>
    <font>
      <i/>
      <sz val="8"/>
      <color rgb="FF595959"/>
      <name val="Arial"/>
      <family val="2"/>
      <charset val="1"/>
    </font>
    <font>
      <b/>
      <sz val="11"/>
      <color rgb="FFFFFFFF"/>
      <name val="Cambria"/>
      <family val="1"/>
      <charset val="1"/>
    </font>
    <font>
      <i/>
      <sz val="8"/>
      <color rgb="FF808080"/>
      <name val="Cambria"/>
      <family val="1"/>
      <charset val="1"/>
    </font>
    <font>
      <b/>
      <sz val="18"/>
      <color theme="1"/>
      <name val="Calibri"/>
      <family val="2"/>
      <charset val="1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i/>
      <sz val="14"/>
      <color rgb="FFFF0000"/>
      <name val="Cambria"/>
      <family val="1"/>
    </font>
    <font>
      <i/>
      <sz val="9"/>
      <color rgb="FFFF0000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028090"/>
        <bgColor rgb="FF2E75B6"/>
      </patternFill>
    </fill>
    <fill>
      <patternFill patternType="solid">
        <fgColor rgb="FF1F4E79"/>
        <bgColor rgb="FF1F4E78"/>
      </patternFill>
    </fill>
    <fill>
      <patternFill patternType="solid">
        <fgColor rgb="FF2E75B6"/>
        <bgColor rgb="FF4472C4"/>
      </patternFill>
    </fill>
    <fill>
      <patternFill patternType="solid">
        <fgColor rgb="FFFFE699"/>
        <bgColor rgb="FFF5DFC8"/>
      </patternFill>
    </fill>
    <fill>
      <patternFill patternType="solid">
        <fgColor rgb="FF404040"/>
        <bgColor rgb="FF375623"/>
      </patternFill>
    </fill>
    <fill>
      <patternFill patternType="solid">
        <fgColor rgb="FFC55A11"/>
        <bgColor rgb="FF7F4F00"/>
      </patternFill>
    </fill>
    <fill>
      <patternFill patternType="solid">
        <fgColor rgb="FF7F3B08"/>
        <bgColor rgb="FF7B3F00"/>
      </patternFill>
    </fill>
    <fill>
      <patternFill patternType="solid">
        <fgColor rgb="FFFCE4D6"/>
        <bgColor rgb="FFF2E2CE"/>
      </patternFill>
    </fill>
    <fill>
      <patternFill patternType="solid">
        <fgColor rgb="FFF5DFC8"/>
        <bgColor rgb="FFF2E2CE"/>
      </patternFill>
    </fill>
    <fill>
      <patternFill patternType="solid">
        <fgColor rgb="FFDEEAF1"/>
        <bgColor rgb="FFE7E6E6"/>
      </patternFill>
    </fill>
    <fill>
      <patternFill patternType="solid">
        <fgColor rgb="FFFBF0E8"/>
        <bgColor rgb="FFF2F2F2"/>
      </patternFill>
    </fill>
    <fill>
      <patternFill patternType="solid">
        <fgColor rgb="FFF2E2CE"/>
        <bgColor rgb="FFF5DFC8"/>
      </patternFill>
    </fill>
    <fill>
      <patternFill patternType="solid">
        <fgColor rgb="FFEEF4F9"/>
        <bgColor rgb="FFF2F7FC"/>
      </patternFill>
    </fill>
    <fill>
      <patternFill patternType="solid">
        <fgColor rgb="FF595959"/>
        <bgColor rgb="FF404040"/>
      </patternFill>
    </fill>
    <fill>
      <patternFill patternType="solid">
        <fgColor rgb="FF1A6B3C"/>
        <bgColor rgb="FF375623"/>
      </patternFill>
    </fill>
    <fill>
      <patternFill patternType="solid">
        <fgColor rgb="FF7B3F00"/>
        <bgColor rgb="FF7F3B08"/>
      </patternFill>
    </fill>
    <fill>
      <patternFill patternType="solid">
        <fgColor rgb="FF4472C4"/>
        <bgColor rgb="FF2E75B6"/>
      </patternFill>
    </fill>
    <fill>
      <patternFill patternType="solid">
        <fgColor rgb="FF7030A0"/>
        <bgColor rgb="FF2F3C7E"/>
      </patternFill>
    </fill>
    <fill>
      <patternFill patternType="solid">
        <fgColor rgb="FFFFF2CC"/>
        <bgColor rgb="FFFBF0E8"/>
      </patternFill>
    </fill>
    <fill>
      <patternFill patternType="solid">
        <fgColor rgb="FFF0F8EC"/>
        <bgColor rgb="FFF2F2F2"/>
      </patternFill>
    </fill>
    <fill>
      <patternFill patternType="solid">
        <fgColor rgb="FFE2EFDA"/>
        <bgColor rgb="FFE7E6E6"/>
      </patternFill>
    </fill>
    <fill>
      <patternFill patternType="solid">
        <fgColor rgb="FFFFFFFF"/>
        <bgColor rgb="FFF7F9FC"/>
      </patternFill>
    </fill>
    <fill>
      <patternFill patternType="solid">
        <fgColor rgb="FF1F4E78"/>
        <bgColor rgb="FF1F4E79"/>
      </patternFill>
    </fill>
    <fill>
      <patternFill patternType="solid">
        <fgColor rgb="FFE7E6E6"/>
        <bgColor rgb="FFDEEAF1"/>
      </patternFill>
    </fill>
    <fill>
      <patternFill patternType="solid">
        <fgColor rgb="FFF7F9FC"/>
        <bgColor rgb="FFF2F7FC"/>
      </patternFill>
    </fill>
    <fill>
      <patternFill patternType="solid">
        <fgColor rgb="FFF2F7FC"/>
        <bgColor rgb="FFF7F9FC"/>
      </patternFill>
    </fill>
    <fill>
      <patternFill patternType="solid">
        <fgColor rgb="FF375623"/>
        <bgColor rgb="FF404040"/>
      </patternFill>
    </fill>
    <fill>
      <patternFill patternType="solid">
        <fgColor rgb="FFFFFF00"/>
        <bgColor rgb="FFFFE699"/>
      </patternFill>
    </fill>
    <fill>
      <patternFill patternType="solid">
        <fgColor rgb="FF00B050"/>
        <bgColor rgb="FF028090"/>
      </patternFill>
    </fill>
    <fill>
      <patternFill patternType="solid">
        <fgColor rgb="FFC00000"/>
        <bgColor rgb="FF800000"/>
      </patternFill>
    </fill>
    <fill>
      <patternFill patternType="solid">
        <fgColor theme="5" tint="0.59978026673177287"/>
        <bgColor rgb="FFCCCCCC"/>
      </patternFill>
    </fill>
    <fill>
      <patternFill patternType="solid">
        <fgColor rgb="FFF2F2F2"/>
        <bgColor rgb="FFEEF4F9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BDD7EE"/>
      </bottom>
      <diagonal/>
    </border>
    <border>
      <left/>
      <right/>
      <top/>
      <bottom style="thin">
        <color rgb="FFD0E4F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0" xfId="0" applyFont="1"/>
    <xf numFmtId="0" fontId="10" fillId="6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164" fontId="13" fillId="11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13" fillId="13" borderId="1" xfId="0" applyNumberFormat="1" applyFont="1" applyFill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12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16" fillId="9" borderId="1" xfId="0" applyNumberFormat="1" applyFont="1" applyFill="1" applyBorder="1" applyAlignment="1">
      <alignment horizontal="center" vertical="center"/>
    </xf>
    <xf numFmtId="164" fontId="16" fillId="10" borderId="1" xfId="0" applyNumberFormat="1" applyFont="1" applyFill="1" applyBorder="1" applyAlignment="1">
      <alignment horizontal="center" vertical="center"/>
    </xf>
    <xf numFmtId="164" fontId="16" fillId="11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4" fontId="16" fillId="12" borderId="1" xfId="0" applyNumberFormat="1" applyFont="1" applyFill="1" applyBorder="1" applyAlignment="1">
      <alignment horizontal="center" vertical="center"/>
    </xf>
    <xf numFmtId="164" fontId="16" fillId="13" borderId="1" xfId="0" applyNumberFormat="1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left" vertical="center"/>
    </xf>
    <xf numFmtId="0" fontId="15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left" vertical="center"/>
    </xf>
    <xf numFmtId="0" fontId="15" fillId="18" borderId="1" xfId="0" applyFont="1" applyFill="1" applyBorder="1" applyAlignment="1">
      <alignment horizontal="left" vertical="center"/>
    </xf>
    <xf numFmtId="0" fontId="15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5" fillId="19" borderId="1" xfId="0" applyFont="1" applyFill="1" applyBorder="1" applyAlignment="1">
      <alignment horizontal="left" vertical="center"/>
    </xf>
    <xf numFmtId="0" fontId="15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>
      <alignment horizontal="center" vertical="center"/>
    </xf>
    <xf numFmtId="166" fontId="11" fillId="8" borderId="1" xfId="0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2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1" fillId="21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/>
    </xf>
    <xf numFmtId="168" fontId="13" fillId="11" borderId="1" xfId="0" applyNumberFormat="1" applyFont="1" applyFill="1" applyBorder="1" applyAlignment="1">
      <alignment horizontal="center" vertical="center"/>
    </xf>
    <xf numFmtId="169" fontId="24" fillId="11" borderId="1" xfId="0" applyNumberFormat="1" applyFont="1" applyFill="1" applyBorder="1" applyAlignment="1">
      <alignment horizontal="center" vertical="center"/>
    </xf>
    <xf numFmtId="0" fontId="25" fillId="23" borderId="0" xfId="0" applyFont="1" applyFill="1"/>
    <xf numFmtId="170" fontId="25" fillId="23" borderId="0" xfId="0" applyNumberFormat="1" applyFont="1" applyFill="1"/>
    <xf numFmtId="0" fontId="29" fillId="25" borderId="0" xfId="0" applyFont="1" applyFill="1"/>
    <xf numFmtId="0" fontId="32" fillId="0" borderId="0" xfId="0" applyFont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0" fontId="35" fillId="24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32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0" xfId="0" applyFont="1"/>
    <xf numFmtId="0" fontId="5" fillId="23" borderId="0" xfId="0" applyFont="1" applyFill="1"/>
    <xf numFmtId="0" fontId="35" fillId="7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28" borderId="0" xfId="0" applyFont="1" applyFill="1" applyAlignment="1">
      <alignment horizontal="center" vertical="center"/>
    </xf>
    <xf numFmtId="0" fontId="41" fillId="29" borderId="0" xfId="0" applyFont="1" applyFill="1" applyAlignment="1">
      <alignment horizontal="center" vertical="center" wrapText="1"/>
    </xf>
    <xf numFmtId="0" fontId="36" fillId="0" borderId="3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170" fontId="36" fillId="0" borderId="3" xfId="0" applyNumberFormat="1" applyFont="1" applyBorder="1" applyAlignment="1">
      <alignment horizontal="center" vertical="center" wrapText="1"/>
    </xf>
    <xf numFmtId="171" fontId="36" fillId="0" borderId="3" xfId="0" applyNumberFormat="1" applyFont="1" applyBorder="1" applyAlignment="1">
      <alignment horizontal="center" vertical="center" wrapText="1"/>
    </xf>
    <xf numFmtId="172" fontId="36" fillId="0" borderId="3" xfId="0" applyNumberFormat="1" applyFont="1" applyBorder="1" applyAlignment="1">
      <alignment horizontal="center" vertical="center" wrapText="1"/>
    </xf>
    <xf numFmtId="0" fontId="41" fillId="29" borderId="3" xfId="0" applyFont="1" applyFill="1" applyBorder="1" applyAlignment="1">
      <alignment horizontal="center" vertical="center" wrapText="1"/>
    </xf>
    <xf numFmtId="3" fontId="36" fillId="0" borderId="3" xfId="0" applyNumberFormat="1" applyFont="1" applyBorder="1" applyAlignment="1">
      <alignment horizontal="center" vertical="center" wrapText="1"/>
    </xf>
    <xf numFmtId="168" fontId="36" fillId="0" borderId="3" xfId="0" applyNumberFormat="1" applyFont="1" applyBorder="1" applyAlignment="1">
      <alignment horizontal="center" vertical="center" wrapText="1"/>
    </xf>
    <xf numFmtId="9" fontId="36" fillId="0" borderId="3" xfId="0" applyNumberFormat="1" applyFont="1" applyBorder="1" applyAlignment="1">
      <alignment horizontal="center" vertical="center" wrapText="1"/>
    </xf>
    <xf numFmtId="173" fontId="36" fillId="0" borderId="3" xfId="0" applyNumberFormat="1" applyFont="1" applyBorder="1" applyAlignment="1">
      <alignment horizontal="center" vertical="center" wrapText="1"/>
    </xf>
    <xf numFmtId="0" fontId="29" fillId="30" borderId="0" xfId="0" applyFont="1" applyFill="1"/>
    <xf numFmtId="0" fontId="34" fillId="0" borderId="3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4" fillId="0" borderId="0" xfId="0" applyFont="1"/>
    <xf numFmtId="0" fontId="32" fillId="0" borderId="0" xfId="0" applyFont="1"/>
    <xf numFmtId="0" fontId="29" fillId="31" borderId="0" xfId="0" applyFont="1" applyFill="1"/>
    <xf numFmtId="0" fontId="45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29" fillId="0" borderId="3" xfId="0" applyFont="1" applyBorder="1"/>
    <xf numFmtId="0" fontId="46" fillId="23" borderId="0" xfId="0" applyFont="1" applyFill="1"/>
    <xf numFmtId="0" fontId="35" fillId="24" borderId="0" xfId="0" applyFont="1" applyFill="1" applyAlignment="1">
      <alignment horizontal="center" vertical="center"/>
    </xf>
    <xf numFmtId="3" fontId="0" fillId="0" borderId="0" xfId="0" applyNumberFormat="1"/>
    <xf numFmtId="3" fontId="41" fillId="29" borderId="3" xfId="0" applyNumberFormat="1" applyFont="1" applyFill="1" applyBorder="1"/>
    <xf numFmtId="0" fontId="0" fillId="32" borderId="0" xfId="0" applyFill="1"/>
    <xf numFmtId="3" fontId="41" fillId="32" borderId="3" xfId="0" applyNumberFormat="1" applyFont="1" applyFill="1" applyBorder="1"/>
    <xf numFmtId="3" fontId="48" fillId="0" borderId="0" xfId="0" applyNumberFormat="1" applyFont="1"/>
    <xf numFmtId="174" fontId="0" fillId="0" borderId="0" xfId="0" applyNumberFormat="1"/>
    <xf numFmtId="175" fontId="41" fillId="29" borderId="0" xfId="0" applyNumberFormat="1" applyFont="1" applyFill="1"/>
    <xf numFmtId="176" fontId="0" fillId="0" borderId="0" xfId="0" applyNumberFormat="1"/>
    <xf numFmtId="164" fontId="41" fillId="29" borderId="0" xfId="0" applyNumberFormat="1" applyFont="1" applyFill="1"/>
    <xf numFmtId="0" fontId="49" fillId="33" borderId="0" xfId="0" applyFont="1" applyFill="1" applyAlignment="1">
      <alignment horizontal="left" wrapText="1"/>
    </xf>
    <xf numFmtId="168" fontId="0" fillId="0" borderId="0" xfId="0" applyNumberFormat="1"/>
    <xf numFmtId="170" fontId="0" fillId="0" borderId="0" xfId="0" applyNumberFormat="1"/>
    <xf numFmtId="170" fontId="48" fillId="0" borderId="0" xfId="0" applyNumberFormat="1" applyFont="1"/>
    <xf numFmtId="170" fontId="50" fillId="30" borderId="0" xfId="0" applyNumberFormat="1" applyFont="1" applyFill="1"/>
    <xf numFmtId="171" fontId="0" fillId="0" borderId="0" xfId="0" applyNumberFormat="1"/>
    <xf numFmtId="170" fontId="41" fillId="29" borderId="3" xfId="0" applyNumberFormat="1" applyFont="1" applyFill="1" applyBorder="1"/>
    <xf numFmtId="164" fontId="41" fillId="29" borderId="3" xfId="0" applyNumberFormat="1" applyFont="1" applyFill="1" applyBorder="1"/>
    <xf numFmtId="0" fontId="30" fillId="0" borderId="8" xfId="0" applyFont="1" applyBorder="1"/>
    <xf numFmtId="164" fontId="0" fillId="0" borderId="0" xfId="0" applyNumberFormat="1"/>
    <xf numFmtId="0" fontId="48" fillId="25" borderId="0" xfId="0" applyFont="1" applyFill="1"/>
    <xf numFmtId="171" fontId="48" fillId="0" borderId="0" xfId="0" applyNumberFormat="1" applyFont="1"/>
    <xf numFmtId="0" fontId="51" fillId="0" borderId="0" xfId="0" applyFont="1"/>
    <xf numFmtId="177" fontId="0" fillId="0" borderId="0" xfId="0" applyNumberFormat="1"/>
    <xf numFmtId="172" fontId="48" fillId="0" borderId="0" xfId="0" applyNumberFormat="1" applyFont="1"/>
    <xf numFmtId="164" fontId="32" fillId="0" borderId="0" xfId="0" applyNumberFormat="1" applyFont="1"/>
    <xf numFmtId="172" fontId="0" fillId="0" borderId="0" xfId="0" applyNumberFormat="1"/>
    <xf numFmtId="164" fontId="16" fillId="9" borderId="1" xfId="0" quotePrefix="1" applyNumberFormat="1" applyFont="1" applyFill="1" applyBorder="1" applyAlignment="1">
      <alignment horizontal="center" vertical="center"/>
    </xf>
    <xf numFmtId="0" fontId="52" fillId="0" borderId="0" xfId="0" applyFont="1"/>
    <xf numFmtId="6" fontId="16" fillId="20" borderId="1" xfId="0" applyNumberFormat="1" applyFont="1" applyFill="1" applyBorder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55" fillId="0" borderId="3" xfId="0" applyFont="1" applyBorder="1" applyAlignment="1">
      <alignment horizontal="center" vertical="center" wrapText="1"/>
    </xf>
    <xf numFmtId="0" fontId="0" fillId="0" borderId="0" xfId="0"/>
    <xf numFmtId="0" fontId="47" fillId="24" borderId="0" xfId="0" applyFont="1" applyFill="1" applyAlignment="1">
      <alignment horizontal="center" vertical="center"/>
    </xf>
    <xf numFmtId="0" fontId="29" fillId="25" borderId="0" xfId="0" applyFont="1" applyFill="1"/>
    <xf numFmtId="0" fontId="49" fillId="33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6" fillId="22" borderId="0" xfId="0" applyFont="1" applyFill="1" applyAlignment="1">
      <alignment horizontal="left" vertical="center" wrapText="1"/>
    </xf>
    <xf numFmtId="0" fontId="16" fillId="12" borderId="2" xfId="0" applyFont="1" applyFill="1" applyBorder="1" applyAlignment="1">
      <alignment horizontal="left" vertical="center" wrapText="1"/>
    </xf>
    <xf numFmtId="0" fontId="16" fillId="14" borderId="2" xfId="0" applyFont="1" applyFill="1" applyBorder="1" applyAlignment="1">
      <alignment horizontal="left" vertical="center" wrapText="1"/>
    </xf>
    <xf numFmtId="0" fontId="16" fillId="9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169" fontId="23" fillId="20" borderId="2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22" fillId="9" borderId="2" xfId="0" applyNumberFormat="1" applyFont="1" applyFill="1" applyBorder="1" applyAlignment="1">
      <alignment horizontal="center" vertical="center"/>
    </xf>
    <xf numFmtId="164" fontId="23" fillId="20" borderId="2" xfId="0" applyNumberFormat="1" applyFont="1" applyFill="1" applyBorder="1" applyAlignment="1">
      <alignment horizontal="center" vertical="center"/>
    </xf>
    <xf numFmtId="168" fontId="23" fillId="20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5" fillId="7" borderId="2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9" fillId="26" borderId="6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/>
    </xf>
    <xf numFmtId="0" fontId="42" fillId="20" borderId="0" xfId="0" applyFont="1" applyFill="1" applyAlignment="1">
      <alignment horizontal="left" vertical="center" wrapText="1"/>
    </xf>
    <xf numFmtId="0" fontId="40" fillId="27" borderId="7" xfId="0" applyFont="1" applyFill="1" applyBorder="1" applyAlignment="1">
      <alignment horizontal="left" vertical="center" wrapText="1"/>
    </xf>
    <xf numFmtId="0" fontId="38" fillId="11" borderId="0" xfId="0" applyFont="1" applyFill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0" fontId="32" fillId="20" borderId="0" xfId="0" applyFont="1" applyFill="1" applyAlignment="1">
      <alignment horizontal="left" wrapText="1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3" fillId="20" borderId="0" xfId="0" applyFont="1" applyFill="1"/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2" fillId="24" borderId="0" xfId="0" applyFont="1" applyFill="1" applyAlignment="1">
      <alignment horizontal="center"/>
    </xf>
    <xf numFmtId="0" fontId="43" fillId="20" borderId="0" xfId="0" applyFont="1" applyFill="1" applyAlignment="1">
      <alignment horizontal="center"/>
    </xf>
    <xf numFmtId="0" fontId="29" fillId="30" borderId="0" xfId="0" applyFont="1" applyFill="1"/>
    <xf numFmtId="0" fontId="44" fillId="25" borderId="0" xfId="0" applyFont="1" applyFill="1"/>
    <xf numFmtId="0" fontId="45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A6B3C"/>
      <rgbColor rgb="FF000080"/>
      <rgbColor rgb="FF7F4F00"/>
      <rgbColor rgb="FF800080"/>
      <rgbColor rgb="FF028090"/>
      <rgbColor rgb="FFCCCCCC"/>
      <rgbColor rgb="FF808080"/>
      <rgbColor rgb="FFF2F2F2"/>
      <rgbColor rgb="FF7030A0"/>
      <rgbColor rgb="FFFFF2CC"/>
      <rgbColor rgb="FFDEEAF1"/>
      <rgbColor rgb="FF660066"/>
      <rgbColor rgb="FFFBF0E8"/>
      <rgbColor rgb="FF2E75B6"/>
      <rgbColor rgb="FFBDD7EE"/>
      <rgbColor rgb="FF000080"/>
      <rgbColor rgb="FFFF00FF"/>
      <rgbColor rgb="FFFCE4D6"/>
      <rgbColor rgb="FF00FFFF"/>
      <rgbColor rgb="FF800080"/>
      <rgbColor rgb="FF800000"/>
      <rgbColor rgb="FF1F4E79"/>
      <rgbColor rgb="FF0000FF"/>
      <rgbColor rgb="FF00CCFF"/>
      <rgbColor rgb="FFEEF4F9"/>
      <rgbColor rgb="FFE2EFDA"/>
      <rgbColor rgb="FFFFE699"/>
      <rgbColor rgb="FFD0E4F0"/>
      <rgbColor rgb="FFE6B9B8"/>
      <rgbColor rgb="FFE7E6E6"/>
      <rgbColor rgb="FFF5DFC8"/>
      <rgbColor rgb="FF4472C4"/>
      <rgbColor rgb="FFF7F9FC"/>
      <rgbColor rgb="FFF0F8EC"/>
      <rgbColor rgb="FFF2E2CE"/>
      <rgbColor rgb="FFF2F7FC"/>
      <rgbColor rgb="FFC55A11"/>
      <rgbColor rgb="FF595959"/>
      <rgbColor rgb="FFAAAAAA"/>
      <rgbColor rgb="FF1F4E78"/>
      <rgbColor rgb="FF00B050"/>
      <rgbColor rgb="FF003300"/>
      <rgbColor rgb="FF375623"/>
      <rgbColor rgb="FF7F3B08"/>
      <rgbColor rgb="FF7B3F00"/>
      <rgbColor rgb="FF2F3C7E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zoomScale="150" zoomScaleNormal="150" workbookViewId="0">
      <selection activeCell="B13" sqref="B13"/>
    </sheetView>
  </sheetViews>
  <sheetFormatPr baseColWidth="10" defaultColWidth="8.6640625" defaultRowHeight="15"/>
  <cols>
    <col min="1" max="1" width="50" customWidth="1"/>
    <col min="2" max="2" width="70" customWidth="1"/>
  </cols>
  <sheetData>
    <row r="1" spans="1:2" ht="24.75" customHeight="1">
      <c r="A1" s="148" t="s">
        <v>0</v>
      </c>
      <c r="B1" s="148"/>
    </row>
    <row r="3" spans="1:2" ht="15" customHeight="1">
      <c r="A3" s="149" t="s">
        <v>1</v>
      </c>
      <c r="B3" s="149"/>
    </row>
    <row r="5" spans="1:2" ht="15" customHeight="1">
      <c r="A5" s="1" t="s">
        <v>2</v>
      </c>
      <c r="B5" s="1" t="s">
        <v>3</v>
      </c>
    </row>
    <row r="6" spans="1:2" ht="60" customHeight="1">
      <c r="A6" s="2" t="s">
        <v>4</v>
      </c>
      <c r="B6" s="3" t="s">
        <v>5</v>
      </c>
    </row>
    <row r="7" spans="1:2" ht="75" customHeight="1">
      <c r="A7" s="2" t="s">
        <v>6</v>
      </c>
      <c r="B7" s="3" t="s">
        <v>7</v>
      </c>
    </row>
    <row r="8" spans="1:2" ht="49.5" customHeight="1">
      <c r="A8" s="2" t="s">
        <v>8</v>
      </c>
      <c r="B8" s="3" t="s">
        <v>9</v>
      </c>
    </row>
    <row r="10" spans="1:2" ht="15" customHeight="1">
      <c r="A10" s="149" t="s">
        <v>10</v>
      </c>
      <c r="B10" s="149"/>
    </row>
    <row r="11" spans="1:2" ht="15" customHeight="1">
      <c r="A11" s="2" t="s">
        <v>11</v>
      </c>
      <c r="B11" s="2"/>
    </row>
    <row r="12" spans="1:2" ht="15" customHeight="1">
      <c r="A12" t="s">
        <v>12</v>
      </c>
      <c r="B12" s="4" t="s">
        <v>13</v>
      </c>
    </row>
    <row r="13" spans="1:2" ht="15" customHeight="1">
      <c r="A13" t="s">
        <v>14</v>
      </c>
      <c r="B13" s="4" t="s">
        <v>15</v>
      </c>
    </row>
    <row r="14" spans="1:2" ht="15" customHeight="1">
      <c r="A14" t="s">
        <v>16</v>
      </c>
      <c r="B14" s="4" t="s">
        <v>17</v>
      </c>
    </row>
    <row r="15" spans="1:2" ht="15" customHeight="1">
      <c r="A15" t="s">
        <v>18</v>
      </c>
      <c r="B15" s="4" t="s">
        <v>19</v>
      </c>
    </row>
    <row r="16" spans="1:2" ht="15" customHeight="1">
      <c r="A16" t="s">
        <v>20</v>
      </c>
      <c r="B16" s="5">
        <v>1785000</v>
      </c>
    </row>
    <row r="17" spans="1:2" ht="15" customHeight="1">
      <c r="A17" t="s">
        <v>21</v>
      </c>
      <c r="B17" s="6">
        <v>1.4875000000000001E-3</v>
      </c>
    </row>
    <row r="19" spans="1:2" ht="15" customHeight="1">
      <c r="A19" s="149" t="s">
        <v>22</v>
      </c>
      <c r="B19" s="149"/>
    </row>
    <row r="20" spans="1:2" ht="34.5" customHeight="1">
      <c r="A20" s="7" t="s">
        <v>23</v>
      </c>
      <c r="B20" s="3" t="s">
        <v>24</v>
      </c>
    </row>
    <row r="21" spans="1:2" ht="34.5" customHeight="1">
      <c r="A21" s="7" t="s">
        <v>25</v>
      </c>
      <c r="B21" s="3" t="s">
        <v>26</v>
      </c>
    </row>
    <row r="22" spans="1:2" ht="34.5" customHeight="1">
      <c r="A22" s="7" t="s">
        <v>27</v>
      </c>
      <c r="B22" s="3" t="s">
        <v>28</v>
      </c>
    </row>
    <row r="23" spans="1:2" ht="34.5" customHeight="1">
      <c r="A23" s="7" t="s">
        <v>29</v>
      </c>
      <c r="B23" s="3" t="s">
        <v>30</v>
      </c>
    </row>
    <row r="24" spans="1:2" ht="34.5" customHeight="1">
      <c r="A24" s="7"/>
      <c r="B24" s="3"/>
    </row>
  </sheetData>
  <mergeCells count="4">
    <mergeCell ref="A1:B1"/>
    <mergeCell ref="A3:B3"/>
    <mergeCell ref="A10:B10"/>
    <mergeCell ref="A19:B1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88"/>
  <sheetViews>
    <sheetView topLeftCell="A75" zoomScale="170" zoomScaleNormal="170" workbookViewId="0">
      <selection activeCell="B31" sqref="B31"/>
    </sheetView>
  </sheetViews>
  <sheetFormatPr baseColWidth="10" defaultColWidth="8.6640625" defaultRowHeight="15"/>
  <cols>
    <col min="1" max="1" width="2.5" customWidth="1"/>
    <col min="2" max="2" width="38" customWidth="1"/>
    <col min="3" max="5" width="18" customWidth="1"/>
    <col min="6" max="6" width="38" customWidth="1"/>
  </cols>
  <sheetData>
    <row r="1" spans="2:6" ht="7.5" customHeight="1"/>
    <row r="2" spans="2:6" ht="43.5" customHeight="1">
      <c r="B2" s="167" t="s">
        <v>31</v>
      </c>
      <c r="C2" s="167"/>
      <c r="D2" s="167"/>
      <c r="E2" s="167"/>
      <c r="F2" s="167"/>
    </row>
    <row r="3" spans="2:6" ht="19.5" customHeight="1">
      <c r="B3" s="168" t="s">
        <v>32</v>
      </c>
      <c r="C3" s="168"/>
      <c r="D3" s="168"/>
      <c r="E3" s="168"/>
      <c r="F3" s="168"/>
    </row>
    <row r="4" spans="2:6" ht="19.5" customHeight="1">
      <c r="B4" s="169" t="s">
        <v>33</v>
      </c>
      <c r="C4" s="169"/>
      <c r="D4" s="169"/>
      <c r="E4" s="169"/>
      <c r="F4" s="169"/>
    </row>
    <row r="5" spans="2:6" ht="7.5" customHeight="1"/>
    <row r="6" spans="2:6" ht="78" customHeight="1">
      <c r="B6" s="8"/>
      <c r="C6" s="9" t="s">
        <v>428</v>
      </c>
      <c r="D6" s="10" t="s">
        <v>427</v>
      </c>
      <c r="E6" s="11" t="s">
        <v>426</v>
      </c>
      <c r="F6" s="12" t="s">
        <v>34</v>
      </c>
    </row>
    <row r="7" spans="2:6" ht="13" customHeight="1"/>
    <row r="8" spans="2:6" ht="21.75" customHeight="1">
      <c r="B8" s="156" t="s">
        <v>35</v>
      </c>
      <c r="C8" s="156"/>
      <c r="D8" s="156"/>
      <c r="E8" s="156"/>
      <c r="F8" s="156"/>
    </row>
    <row r="9" spans="2:6" ht="19.5" customHeight="1">
      <c r="B9" s="13" t="s">
        <v>36</v>
      </c>
      <c r="C9" s="14">
        <v>120000</v>
      </c>
      <c r="D9" s="14">
        <v>300000</v>
      </c>
      <c r="E9" s="16">
        <v>365000</v>
      </c>
      <c r="F9" s="17" t="s">
        <v>436</v>
      </c>
    </row>
    <row r="10" spans="2:6" ht="19.5" customHeight="1">
      <c r="B10" s="13" t="s">
        <v>38</v>
      </c>
      <c r="C10" s="15" t="s">
        <v>37</v>
      </c>
      <c r="D10" s="18">
        <f>+C9+D9</f>
        <v>420000</v>
      </c>
      <c r="E10" s="19">
        <f>+E9</f>
        <v>365000</v>
      </c>
      <c r="F10" s="17" t="s">
        <v>425</v>
      </c>
    </row>
    <row r="11" spans="2:6" ht="19.5" customHeight="1">
      <c r="B11" s="13" t="s">
        <v>39</v>
      </c>
      <c r="C11" s="14">
        <f>+C9</f>
        <v>120000</v>
      </c>
      <c r="D11" s="15" t="s">
        <v>37</v>
      </c>
      <c r="E11" s="15" t="s">
        <v>37</v>
      </c>
      <c r="F11" s="17" t="s">
        <v>437</v>
      </c>
    </row>
    <row r="12" spans="2:6" ht="19.5" customHeight="1">
      <c r="B12" s="20" t="s">
        <v>40</v>
      </c>
      <c r="C12" s="21" t="s">
        <v>41</v>
      </c>
      <c r="D12" s="22" t="s">
        <v>42</v>
      </c>
      <c r="E12" s="23" t="s">
        <v>43</v>
      </c>
      <c r="F12" s="17" t="s">
        <v>44</v>
      </c>
    </row>
    <row r="13" spans="2:6" ht="19.5" customHeight="1">
      <c r="B13" s="20" t="s">
        <v>45</v>
      </c>
      <c r="C13" s="24" t="s">
        <v>46</v>
      </c>
      <c r="D13" s="25" t="s">
        <v>47</v>
      </c>
      <c r="E13" s="26" t="s">
        <v>48</v>
      </c>
      <c r="F13" s="17" t="s">
        <v>415</v>
      </c>
    </row>
    <row r="14" spans="2:6" ht="19.5" customHeight="1">
      <c r="B14" s="20" t="s">
        <v>49</v>
      </c>
      <c r="C14" s="21" t="s">
        <v>50</v>
      </c>
      <c r="D14" s="22" t="s">
        <v>51</v>
      </c>
      <c r="E14" s="23" t="s">
        <v>52</v>
      </c>
      <c r="F14" s="17" t="s">
        <v>53</v>
      </c>
    </row>
    <row r="15" spans="2:6" ht="19.5" customHeight="1">
      <c r="B15" s="20" t="s">
        <v>54</v>
      </c>
      <c r="C15" s="24" t="s">
        <v>55</v>
      </c>
      <c r="D15" s="25" t="s">
        <v>56</v>
      </c>
      <c r="E15" s="26" t="s">
        <v>57</v>
      </c>
      <c r="F15" s="17" t="s">
        <v>58</v>
      </c>
    </row>
    <row r="16" spans="2:6" ht="7.5" customHeight="1"/>
    <row r="17" spans="2:6" ht="21.75" customHeight="1">
      <c r="B17" s="156" t="s">
        <v>59</v>
      </c>
      <c r="C17" s="156"/>
      <c r="D17" s="156"/>
      <c r="E17" s="156"/>
      <c r="F17" s="156"/>
    </row>
    <row r="18" spans="2:6" ht="27.75" customHeight="1">
      <c r="B18" s="27" t="s">
        <v>60</v>
      </c>
      <c r="C18" s="28" t="s">
        <v>61</v>
      </c>
      <c r="D18" s="29" t="s">
        <v>62</v>
      </c>
      <c r="E18" s="30" t="s">
        <v>63</v>
      </c>
      <c r="F18" s="27" t="s">
        <v>64</v>
      </c>
    </row>
    <row r="19" spans="2:6" ht="18" customHeight="1">
      <c r="B19" s="31" t="s">
        <v>65</v>
      </c>
      <c r="C19" s="32" t="s">
        <v>435</v>
      </c>
      <c r="D19" s="32" t="s">
        <v>434</v>
      </c>
      <c r="E19" s="32" t="s">
        <v>433</v>
      </c>
      <c r="F19" s="33"/>
    </row>
    <row r="20" spans="2:6" ht="30" customHeight="1">
      <c r="B20" s="34" t="s">
        <v>66</v>
      </c>
      <c r="C20" s="35">
        <v>60000</v>
      </c>
      <c r="D20" s="36">
        <v>60000</v>
      </c>
      <c r="E20" s="37">
        <v>105000</v>
      </c>
      <c r="F20" s="38" t="s">
        <v>416</v>
      </c>
    </row>
    <row r="21" spans="2:6" ht="30" customHeight="1">
      <c r="B21" s="34" t="s">
        <v>67</v>
      </c>
      <c r="C21" s="15" t="s">
        <v>37</v>
      </c>
      <c r="D21" s="40">
        <v>10000</v>
      </c>
      <c r="E21" s="41">
        <v>10000</v>
      </c>
      <c r="F21" s="38" t="s">
        <v>438</v>
      </c>
    </row>
    <row r="22" spans="2:6" ht="29" customHeight="1">
      <c r="B22" s="34" t="s">
        <v>68</v>
      </c>
      <c r="C22" s="35">
        <v>20000</v>
      </c>
      <c r="D22" s="36">
        <v>20000</v>
      </c>
      <c r="E22" s="37">
        <v>30000</v>
      </c>
      <c r="F22" s="38" t="s">
        <v>417</v>
      </c>
    </row>
    <row r="23" spans="2:6" ht="31" customHeight="1">
      <c r="B23" s="34" t="s">
        <v>69</v>
      </c>
      <c r="C23" s="39">
        <v>10000</v>
      </c>
      <c r="D23" s="40">
        <v>10000</v>
      </c>
      <c r="E23" s="41">
        <v>20000</v>
      </c>
      <c r="F23" s="38" t="s">
        <v>439</v>
      </c>
    </row>
    <row r="24" spans="2:6" ht="18" customHeight="1">
      <c r="B24" s="42" t="s">
        <v>70</v>
      </c>
      <c r="C24" s="43" t="s">
        <v>430</v>
      </c>
      <c r="D24" s="43" t="s">
        <v>431</v>
      </c>
      <c r="E24" s="43" t="s">
        <v>432</v>
      </c>
      <c r="F24" s="44"/>
    </row>
    <row r="25" spans="2:6" ht="38" customHeight="1">
      <c r="B25" s="34" t="s">
        <v>72</v>
      </c>
      <c r="C25" s="138" t="s">
        <v>413</v>
      </c>
      <c r="D25" s="138" t="s">
        <v>413</v>
      </c>
      <c r="E25" s="138" t="s">
        <v>413</v>
      </c>
      <c r="F25" t="s">
        <v>419</v>
      </c>
    </row>
    <row r="26" spans="2:6" ht="28" customHeight="1">
      <c r="B26" s="34" t="s">
        <v>73</v>
      </c>
      <c r="C26" s="39">
        <v>30000</v>
      </c>
      <c r="D26" s="40">
        <v>30000</v>
      </c>
      <c r="E26" s="41">
        <v>30000</v>
      </c>
      <c r="F26" s="38" t="s">
        <v>74</v>
      </c>
    </row>
    <row r="27" spans="2:6" ht="18" customHeight="1">
      <c r="B27" s="45" t="s">
        <v>75</v>
      </c>
      <c r="C27" s="46"/>
      <c r="D27" s="46" t="s">
        <v>414</v>
      </c>
      <c r="E27" s="46" t="s">
        <v>429</v>
      </c>
      <c r="F27" s="47"/>
    </row>
    <row r="28" spans="2:6" ht="39" customHeight="1">
      <c r="B28" s="48" t="s">
        <v>76</v>
      </c>
      <c r="C28" s="138" t="s">
        <v>413</v>
      </c>
      <c r="D28" s="36">
        <v>135000</v>
      </c>
      <c r="E28" s="37">
        <v>135000</v>
      </c>
      <c r="F28" s="38" t="s">
        <v>77</v>
      </c>
    </row>
    <row r="29" spans="2:6" ht="18" customHeight="1">
      <c r="B29" s="49" t="s">
        <v>78</v>
      </c>
      <c r="C29" s="50"/>
      <c r="D29" s="50" t="s">
        <v>79</v>
      </c>
      <c r="E29" s="50" t="s">
        <v>71</v>
      </c>
      <c r="F29" s="51"/>
    </row>
    <row r="30" spans="2:6" ht="34" customHeight="1">
      <c r="B30" s="48" t="s">
        <v>80</v>
      </c>
      <c r="C30" s="138" t="s">
        <v>413</v>
      </c>
      <c r="D30" s="35">
        <v>30000</v>
      </c>
      <c r="E30" s="37">
        <v>30000</v>
      </c>
      <c r="F30" s="38" t="s">
        <v>418</v>
      </c>
    </row>
    <row r="31" spans="2:6" ht="33" customHeight="1">
      <c r="B31" s="48" t="s">
        <v>468</v>
      </c>
      <c r="C31" s="52" t="s">
        <v>37</v>
      </c>
      <c r="D31" s="36">
        <v>5000</v>
      </c>
      <c r="E31" s="37">
        <v>5000</v>
      </c>
      <c r="F31" s="38" t="s">
        <v>81</v>
      </c>
    </row>
    <row r="32" spans="2:6" ht="33" customHeight="1">
      <c r="B32" s="48"/>
      <c r="C32" s="52"/>
      <c r="D32" s="36"/>
      <c r="E32" s="37"/>
      <c r="F32" s="38"/>
    </row>
    <row r="33" spans="2:6" ht="38" customHeight="1">
      <c r="B33" s="53" t="s">
        <v>82</v>
      </c>
      <c r="C33" s="54">
        <v>120000</v>
      </c>
      <c r="D33" s="55">
        <v>300000</v>
      </c>
      <c r="E33" s="56">
        <v>365000</v>
      </c>
      <c r="F33" s="57" t="s">
        <v>455</v>
      </c>
    </row>
    <row r="34" spans="2:6" ht="26" customHeight="1"/>
    <row r="35" spans="2:6" ht="21.75" customHeight="1">
      <c r="B35" s="156" t="s">
        <v>83</v>
      </c>
      <c r="C35" s="156"/>
      <c r="D35" s="156"/>
      <c r="E35" s="156"/>
      <c r="F35" s="156"/>
    </row>
    <row r="36" spans="2:6" ht="18" customHeight="1">
      <c r="B36" s="58" t="s">
        <v>84</v>
      </c>
      <c r="C36" s="27" t="s">
        <v>85</v>
      </c>
      <c r="D36" s="166" t="s">
        <v>86</v>
      </c>
      <c r="E36" s="166"/>
      <c r="F36" s="166"/>
    </row>
    <row r="37" spans="2:6" ht="18" customHeight="1">
      <c r="B37" s="59" t="s">
        <v>87</v>
      </c>
      <c r="C37" s="60" t="s">
        <v>88</v>
      </c>
      <c r="D37" s="164" t="s">
        <v>89</v>
      </c>
      <c r="E37" s="164"/>
      <c r="F37" s="164"/>
    </row>
    <row r="38" spans="2:6" ht="18" customHeight="1">
      <c r="B38" s="59" t="s">
        <v>90</v>
      </c>
      <c r="C38" s="60" t="s">
        <v>91</v>
      </c>
      <c r="D38" s="164" t="s">
        <v>92</v>
      </c>
      <c r="E38" s="164"/>
      <c r="F38" s="164"/>
    </row>
    <row r="39" spans="2:6" ht="18" customHeight="1">
      <c r="B39" s="59" t="s">
        <v>93</v>
      </c>
      <c r="C39" s="60" t="s">
        <v>94</v>
      </c>
      <c r="D39" s="164" t="s">
        <v>95</v>
      </c>
      <c r="E39" s="164"/>
      <c r="F39" s="164"/>
    </row>
    <row r="40" spans="2:6" ht="18" customHeight="1">
      <c r="B40" s="59" t="s">
        <v>96</v>
      </c>
      <c r="C40" s="60" t="s">
        <v>97</v>
      </c>
      <c r="D40" s="164" t="s">
        <v>98</v>
      </c>
      <c r="E40" s="164"/>
      <c r="F40" s="164"/>
    </row>
    <row r="41" spans="2:6" ht="18" customHeight="1">
      <c r="B41" s="59" t="s">
        <v>99</v>
      </c>
      <c r="C41" s="60" t="s">
        <v>100</v>
      </c>
      <c r="D41" s="164" t="s">
        <v>101</v>
      </c>
      <c r="E41" s="164"/>
      <c r="F41" s="164"/>
    </row>
    <row r="42" spans="2:6" ht="7.5" customHeight="1"/>
    <row r="43" spans="2:6" ht="21.75" customHeight="1">
      <c r="B43" s="156" t="s">
        <v>102</v>
      </c>
      <c r="C43" s="156"/>
      <c r="D43" s="156"/>
      <c r="E43" s="156"/>
      <c r="F43" s="156"/>
    </row>
    <row r="44" spans="2:6" ht="18" customHeight="1">
      <c r="B44" s="58" t="s">
        <v>103</v>
      </c>
      <c r="C44" s="27" t="s">
        <v>104</v>
      </c>
      <c r="D44" s="27" t="s">
        <v>105</v>
      </c>
      <c r="E44" s="27" t="s">
        <v>106</v>
      </c>
      <c r="F44" s="58" t="s">
        <v>107</v>
      </c>
    </row>
    <row r="45" spans="2:6" ht="18" customHeight="1">
      <c r="B45" s="34" t="s">
        <v>108</v>
      </c>
      <c r="C45" s="140">
        <v>1200</v>
      </c>
      <c r="D45" s="61" t="s">
        <v>109</v>
      </c>
      <c r="E45" s="62" t="s">
        <v>440</v>
      </c>
      <c r="F45" s="38" t="s">
        <v>110</v>
      </c>
    </row>
    <row r="46" spans="2:6" ht="18" customHeight="1">
      <c r="B46" s="34" t="s">
        <v>111</v>
      </c>
      <c r="C46" s="140">
        <v>3000</v>
      </c>
      <c r="D46" s="61" t="s">
        <v>109</v>
      </c>
      <c r="E46" s="63" t="s">
        <v>441</v>
      </c>
      <c r="F46" s="38" t="s">
        <v>112</v>
      </c>
    </row>
    <row r="47" spans="2:6" ht="18" customHeight="1">
      <c r="B47" s="34" t="s">
        <v>113</v>
      </c>
      <c r="C47" s="140">
        <v>2100</v>
      </c>
      <c r="D47" s="61" t="s">
        <v>109</v>
      </c>
      <c r="E47" s="62" t="s">
        <v>443</v>
      </c>
      <c r="F47" s="38" t="s">
        <v>114</v>
      </c>
    </row>
    <row r="48" spans="2:6" ht="18" customHeight="1">
      <c r="B48" s="34" t="s">
        <v>115</v>
      </c>
      <c r="C48" s="140">
        <v>1825</v>
      </c>
      <c r="D48" s="61" t="s">
        <v>109</v>
      </c>
      <c r="E48" s="63" t="s">
        <v>442</v>
      </c>
      <c r="F48" s="38" t="s">
        <v>116</v>
      </c>
    </row>
    <row r="49" spans="2:6" ht="7.5" customHeight="1"/>
    <row r="50" spans="2:6" ht="21.75" customHeight="1">
      <c r="B50" s="156" t="s">
        <v>117</v>
      </c>
      <c r="C50" s="156"/>
      <c r="D50" s="156"/>
      <c r="E50" s="156"/>
      <c r="F50" s="156"/>
    </row>
    <row r="51" spans="2:6" ht="18" customHeight="1">
      <c r="B51" s="58" t="s">
        <v>118</v>
      </c>
      <c r="C51" s="165" t="s">
        <v>119</v>
      </c>
      <c r="D51" s="165"/>
      <c r="E51" s="30" t="s">
        <v>120</v>
      </c>
      <c r="F51" s="27" t="s">
        <v>121</v>
      </c>
    </row>
    <row r="52" spans="2:6" ht="19.5" customHeight="1">
      <c r="B52" s="34" t="s">
        <v>420</v>
      </c>
      <c r="C52" s="162" t="s">
        <v>444</v>
      </c>
      <c r="D52" s="162"/>
      <c r="E52" s="64" t="s">
        <v>449</v>
      </c>
      <c r="F52" s="28" t="s">
        <v>122</v>
      </c>
    </row>
    <row r="53" spans="2:6" ht="19.5" customHeight="1">
      <c r="B53" s="34" t="s">
        <v>420</v>
      </c>
      <c r="C53" s="163" t="s">
        <v>445</v>
      </c>
      <c r="D53" s="163"/>
      <c r="E53" s="65" t="s">
        <v>450</v>
      </c>
      <c r="F53" s="30" t="s">
        <v>123</v>
      </c>
    </row>
    <row r="54" spans="2:6" ht="19.5" customHeight="1">
      <c r="B54" s="34" t="s">
        <v>124</v>
      </c>
      <c r="C54" s="162" t="s">
        <v>447</v>
      </c>
      <c r="D54" s="162"/>
      <c r="E54" s="64" t="s">
        <v>446</v>
      </c>
      <c r="F54" s="30" t="s">
        <v>123</v>
      </c>
    </row>
    <row r="55" spans="2:6" ht="19.5" customHeight="1">
      <c r="B55" s="34" t="s">
        <v>125</v>
      </c>
      <c r="C55" s="163" t="s">
        <v>448</v>
      </c>
      <c r="D55" s="163"/>
      <c r="E55" s="65" t="s">
        <v>451</v>
      </c>
      <c r="F55" s="30" t="s">
        <v>123</v>
      </c>
    </row>
    <row r="56" spans="2:6" ht="7.5" customHeight="1"/>
    <row r="57" spans="2:6" ht="21.75" customHeight="1">
      <c r="B57" s="156" t="s">
        <v>126</v>
      </c>
      <c r="C57" s="156"/>
      <c r="D57" s="156"/>
      <c r="E57" s="156"/>
      <c r="F57" s="156"/>
    </row>
    <row r="58" spans="2:6" ht="19.5" customHeight="1">
      <c r="B58" s="20" t="s">
        <v>127</v>
      </c>
      <c r="C58" s="159">
        <f>'Base Case - Hybrid Model'!G31</f>
        <v>42542670</v>
      </c>
      <c r="D58" s="159"/>
      <c r="E58" s="66">
        <f>'Base Case - Hybrid Model'!G31</f>
        <v>42542670</v>
      </c>
      <c r="F58" s="17"/>
    </row>
    <row r="59" spans="2:6" ht="19.5" customHeight="1">
      <c r="B59" s="20" t="s">
        <v>128</v>
      </c>
      <c r="C59" s="159">
        <f>'Base Case - Hybrid Model'!G31*8</f>
        <v>340341360</v>
      </c>
      <c r="D59" s="159"/>
      <c r="E59" s="66">
        <f>'Base Case - Hybrid Model'!G31*8</f>
        <v>340341360</v>
      </c>
      <c r="F59" s="17"/>
    </row>
    <row r="60" spans="2:6" ht="19.5" customHeight="1">
      <c r="B60" s="20" t="s">
        <v>129</v>
      </c>
      <c r="C60" s="159">
        <v>5375000</v>
      </c>
      <c r="D60" s="159"/>
      <c r="E60" s="66">
        <v>5330000</v>
      </c>
      <c r="F60" s="17" t="s">
        <v>130</v>
      </c>
    </row>
    <row r="61" spans="2:6" ht="19.5" customHeight="1">
      <c r="B61" s="13" t="s">
        <v>131</v>
      </c>
      <c r="C61" s="160">
        <f>NPV(0.3,'Base Case - Hybrid Model'!C57:F57,'Base Case - Hybrid Model'!G57+'Base Case - Hybrid Model'!G31*8)-5375000</f>
        <v>93066436.61474897</v>
      </c>
      <c r="D61" s="160"/>
      <c r="E61" s="16">
        <f>NPV(0.3,'Base Case - Hybrid Model'!C57:F57,'Base Case - Hybrid Model'!G57+'Base Case - Hybrid Model'!G31*8)-5330000</f>
        <v>93111436.61474897</v>
      </c>
      <c r="F61" s="17" t="s">
        <v>132</v>
      </c>
    </row>
    <row r="62" spans="2:6" ht="19.5" customHeight="1">
      <c r="B62" s="13" t="s">
        <v>133</v>
      </c>
      <c r="C62" s="161">
        <f>IFERROR(IRR(B67:G67),"N/A")</f>
        <v>1.2876784340813843</v>
      </c>
      <c r="D62" s="161"/>
      <c r="E62" s="67">
        <f>IFERROR(IRR(B68:G68),"N/A")</f>
        <v>1.2912353231848011</v>
      </c>
      <c r="F62" s="17" t="s">
        <v>134</v>
      </c>
    </row>
    <row r="63" spans="2:6" ht="19.5" customHeight="1">
      <c r="B63" s="13" t="s">
        <v>135</v>
      </c>
      <c r="C63" s="155">
        <f>'Base Case - Hybrid Model'!G31*8/5375000</f>
        <v>63.319322790697676</v>
      </c>
      <c r="D63" s="155"/>
      <c r="E63" s="68">
        <f>'Base Case - Hybrid Model'!G31*8/5330000</f>
        <v>63.85391369606004</v>
      </c>
      <c r="F63" s="17" t="s">
        <v>136</v>
      </c>
    </row>
    <row r="64" spans="2:6" ht="7.5" customHeight="1"/>
    <row r="67" spans="2:7" ht="0.75" customHeight="1">
      <c r="B67" s="69">
        <v>-5375000</v>
      </c>
      <c r="C67" s="70">
        <f>'Base Case - Hybrid Model'!C57</f>
        <v>-1081900</v>
      </c>
      <c r="D67" s="70">
        <f>'Base Case - Hybrid Model'!D57</f>
        <v>-1184680</v>
      </c>
      <c r="E67" s="70">
        <f>'Base Case - Hybrid Model'!E57</f>
        <v>528270</v>
      </c>
      <c r="F67" s="70">
        <f>'Base Case - Hybrid Model'!F57</f>
        <v>7624595</v>
      </c>
      <c r="G67" s="69">
        <f>'Base Case - Hybrid Model'!G57+'Base Case - Hybrid Model'!G31*8</f>
        <v>360394170</v>
      </c>
    </row>
    <row r="68" spans="2:7" ht="0.75" customHeight="1">
      <c r="B68" s="69">
        <v>-5330000</v>
      </c>
      <c r="C68" s="70">
        <f>'Base Case - Hybrid Model'!C57</f>
        <v>-1081900</v>
      </c>
      <c r="D68" s="70">
        <f>'Base Case - Hybrid Model'!D57</f>
        <v>-1184680</v>
      </c>
      <c r="E68" s="70">
        <f>'Base Case - Hybrid Model'!E57</f>
        <v>528270</v>
      </c>
      <c r="F68" s="70">
        <f>'Base Case - Hybrid Model'!F57</f>
        <v>7624595</v>
      </c>
      <c r="G68" s="69">
        <f>'Base Case - Hybrid Model'!G57+'Base Case - Hybrid Model'!G31*8</f>
        <v>360394170</v>
      </c>
    </row>
    <row r="70" spans="2:7" ht="7.5" customHeight="1"/>
    <row r="71" spans="2:7" ht="21.75" customHeight="1">
      <c r="B71" s="156" t="s">
        <v>137</v>
      </c>
      <c r="C71" s="156"/>
      <c r="D71" s="156"/>
      <c r="E71" s="156"/>
      <c r="F71" s="156"/>
    </row>
    <row r="72" spans="2:7" ht="18" customHeight="1">
      <c r="B72" s="157" t="s">
        <v>452</v>
      </c>
      <c r="C72" s="157"/>
      <c r="D72" s="158" t="s">
        <v>454</v>
      </c>
      <c r="E72" s="158"/>
      <c r="F72" s="158"/>
    </row>
    <row r="73" spans="2:7" ht="19.5" customHeight="1">
      <c r="B73" s="153" t="s">
        <v>138</v>
      </c>
      <c r="C73" s="153"/>
      <c r="D73" s="154" t="s">
        <v>139</v>
      </c>
      <c r="E73" s="154"/>
      <c r="F73" s="154"/>
    </row>
    <row r="74" spans="2:7" ht="19.5" customHeight="1">
      <c r="B74" s="151" t="s">
        <v>140</v>
      </c>
      <c r="C74" s="151"/>
      <c r="D74" s="152" t="s">
        <v>456</v>
      </c>
      <c r="E74" s="152"/>
      <c r="F74" s="152"/>
    </row>
    <row r="75" spans="2:7" ht="19.5" customHeight="1">
      <c r="B75" s="153" t="s">
        <v>141</v>
      </c>
      <c r="C75" s="153"/>
      <c r="D75" s="154" t="s">
        <v>142</v>
      </c>
      <c r="E75" s="154"/>
      <c r="F75" s="154"/>
    </row>
    <row r="76" spans="2:7" ht="19.5" customHeight="1">
      <c r="B76" s="151" t="s">
        <v>143</v>
      </c>
      <c r="C76" s="151"/>
      <c r="D76" s="152" t="s">
        <v>453</v>
      </c>
      <c r="E76" s="152"/>
      <c r="F76" s="152"/>
    </row>
    <row r="77" spans="2:7" ht="7.5" customHeight="1"/>
    <row r="78" spans="2:7" ht="99.75" customHeight="1">
      <c r="B78" s="150" t="s">
        <v>457</v>
      </c>
      <c r="C78" s="150"/>
      <c r="D78" s="150"/>
      <c r="E78" s="150"/>
      <c r="F78" s="150"/>
    </row>
    <row r="80" spans="2:7" ht="24">
      <c r="B80" s="139" t="s">
        <v>421</v>
      </c>
    </row>
    <row r="82" spans="2:3">
      <c r="B82" t="s">
        <v>422</v>
      </c>
    </row>
    <row r="84" spans="2:3">
      <c r="B84" t="s">
        <v>423</v>
      </c>
    </row>
    <row r="86" spans="2:3">
      <c r="B86" t="s">
        <v>424</v>
      </c>
    </row>
    <row r="88" spans="2:3" ht="24">
      <c r="B88" s="141" t="s">
        <v>458</v>
      </c>
      <c r="C88" s="142"/>
    </row>
  </sheetData>
  <mergeCells count="38">
    <mergeCell ref="B2:F2"/>
    <mergeCell ref="B3:F3"/>
    <mergeCell ref="B4:F4"/>
    <mergeCell ref="B8:F8"/>
    <mergeCell ref="B17:F17"/>
    <mergeCell ref="B35:F35"/>
    <mergeCell ref="D36:F36"/>
    <mergeCell ref="D37:F37"/>
    <mergeCell ref="D38:F38"/>
    <mergeCell ref="D39:F39"/>
    <mergeCell ref="D40:F40"/>
    <mergeCell ref="D41:F41"/>
    <mergeCell ref="B43:F43"/>
    <mergeCell ref="B50:F50"/>
    <mergeCell ref="C51:D51"/>
    <mergeCell ref="C52:D52"/>
    <mergeCell ref="C53:D53"/>
    <mergeCell ref="C54:D54"/>
    <mergeCell ref="C55:D55"/>
    <mergeCell ref="B57:F57"/>
    <mergeCell ref="C58:D58"/>
    <mergeCell ref="C59:D59"/>
    <mergeCell ref="C60:D60"/>
    <mergeCell ref="C61:D61"/>
    <mergeCell ref="C62:D62"/>
    <mergeCell ref="C63:D63"/>
    <mergeCell ref="B71:F71"/>
    <mergeCell ref="B72:C72"/>
    <mergeCell ref="D72:F72"/>
    <mergeCell ref="B73:C73"/>
    <mergeCell ref="D73:F73"/>
    <mergeCell ref="B78:F78"/>
    <mergeCell ref="B74:C74"/>
    <mergeCell ref="D74:F74"/>
    <mergeCell ref="B75:C75"/>
    <mergeCell ref="D75:F75"/>
    <mergeCell ref="B76:C76"/>
    <mergeCell ref="D76:F7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zoomScale="170" zoomScaleNormal="170" workbookViewId="0">
      <selection activeCell="E62" sqref="E62"/>
    </sheetView>
  </sheetViews>
  <sheetFormatPr baseColWidth="10" defaultColWidth="8.6640625" defaultRowHeight="15"/>
  <cols>
    <col min="1" max="1" width="55" customWidth="1"/>
    <col min="2" max="4" width="18" customWidth="1"/>
  </cols>
  <sheetData>
    <row r="1" spans="1:4" ht="19.5" customHeight="1">
      <c r="A1" s="184" t="s">
        <v>144</v>
      </c>
      <c r="B1" s="184"/>
      <c r="C1" s="184"/>
      <c r="D1" s="184"/>
    </row>
    <row r="2" spans="1:4" ht="15" customHeight="1">
      <c r="A2" s="185" t="s">
        <v>145</v>
      </c>
      <c r="B2" s="185"/>
      <c r="C2" s="185"/>
      <c r="D2" s="185"/>
    </row>
    <row r="4" spans="1:4" ht="15" customHeight="1">
      <c r="A4" s="146" t="s">
        <v>146</v>
      </c>
      <c r="B4" s="146"/>
      <c r="C4" s="146"/>
      <c r="D4" s="146"/>
    </row>
    <row r="5" spans="1:4" ht="23.25" customHeight="1">
      <c r="A5" s="183" t="s">
        <v>459</v>
      </c>
      <c r="B5" s="183"/>
      <c r="C5" s="183"/>
      <c r="D5" s="183"/>
    </row>
    <row r="6" spans="1:4" ht="15" customHeight="1">
      <c r="A6" s="183"/>
      <c r="B6" s="183"/>
      <c r="C6" s="183"/>
      <c r="D6" s="183"/>
    </row>
    <row r="7" spans="1:4" ht="15" customHeight="1">
      <c r="A7" s="180" t="s">
        <v>147</v>
      </c>
      <c r="B7" s="180"/>
      <c r="C7" s="180"/>
      <c r="D7" s="180"/>
    </row>
    <row r="8" spans="1:4" ht="15" customHeight="1">
      <c r="A8" s="179" t="s">
        <v>148</v>
      </c>
      <c r="B8" s="179"/>
      <c r="C8" s="179"/>
      <c r="D8" s="179"/>
    </row>
    <row r="9" spans="1:4" ht="15" customHeight="1">
      <c r="A9" s="179" t="s">
        <v>149</v>
      </c>
      <c r="B9" s="179"/>
      <c r="C9" s="179"/>
      <c r="D9" s="179"/>
    </row>
    <row r="10" spans="1:4" ht="15" customHeight="1">
      <c r="A10" s="183"/>
      <c r="B10" s="183"/>
      <c r="C10" s="183"/>
      <c r="D10" s="183"/>
    </row>
    <row r="11" spans="1:4" ht="15" customHeight="1">
      <c r="A11" s="180" t="s">
        <v>150</v>
      </c>
      <c r="B11" s="180"/>
      <c r="C11" s="180"/>
      <c r="D11" s="180"/>
    </row>
    <row r="12" spans="1:4" ht="15" customHeight="1">
      <c r="A12" s="179" t="s">
        <v>151</v>
      </c>
      <c r="B12" s="179"/>
      <c r="C12" s="179"/>
      <c r="D12" s="179"/>
    </row>
    <row r="13" spans="1:4" ht="15" customHeight="1">
      <c r="A13" s="179" t="s">
        <v>152</v>
      </c>
      <c r="B13" s="179"/>
      <c r="C13" s="179"/>
      <c r="D13" s="179"/>
    </row>
    <row r="14" spans="1:4" ht="15" customHeight="1">
      <c r="A14" s="180" t="s">
        <v>153</v>
      </c>
      <c r="B14" s="180"/>
      <c r="C14" s="180"/>
      <c r="D14" s="180"/>
    </row>
    <row r="15" spans="1:4" ht="15" customHeight="1">
      <c r="A15" s="181" t="s">
        <v>154</v>
      </c>
      <c r="B15" s="181"/>
      <c r="C15" s="181"/>
      <c r="D15" s="181"/>
    </row>
    <row r="16" spans="1:4" ht="15" customHeight="1">
      <c r="A16" s="182" t="s">
        <v>155</v>
      </c>
      <c r="B16" s="182"/>
      <c r="C16" s="182"/>
      <c r="D16" s="182"/>
    </row>
    <row r="17" spans="1:4" ht="15" customHeight="1">
      <c r="A17" s="176" t="s">
        <v>156</v>
      </c>
      <c r="B17" s="176"/>
      <c r="C17" s="176"/>
      <c r="D17" s="176"/>
    </row>
    <row r="18" spans="1:4" ht="15" customHeight="1">
      <c r="A18" s="177" t="s">
        <v>157</v>
      </c>
      <c r="B18" s="177"/>
      <c r="C18" s="177"/>
      <c r="D18" s="177"/>
    </row>
    <row r="19" spans="1:4" ht="15" customHeight="1">
      <c r="A19" s="176" t="s">
        <v>158</v>
      </c>
      <c r="B19" s="176"/>
      <c r="C19" s="176"/>
      <c r="D19" s="176"/>
    </row>
    <row r="20" spans="1:4" ht="15" customHeight="1">
      <c r="A20" s="176" t="s">
        <v>159</v>
      </c>
      <c r="B20" s="176"/>
      <c r="C20" s="176"/>
      <c r="D20" s="176"/>
    </row>
    <row r="21" spans="1:4" ht="15" customHeight="1">
      <c r="A21" s="178" t="s">
        <v>160</v>
      </c>
      <c r="B21" s="178"/>
      <c r="C21" s="178"/>
      <c r="D21" s="178"/>
    </row>
    <row r="22" spans="1:4" ht="15" customHeight="1">
      <c r="A22" s="176" t="s">
        <v>161</v>
      </c>
      <c r="B22" s="176"/>
      <c r="C22" s="176"/>
      <c r="D22" s="176"/>
    </row>
    <row r="23" spans="1:4" ht="21.75" customHeight="1">
      <c r="A23" s="72" t="s">
        <v>157</v>
      </c>
    </row>
    <row r="24" spans="1:4" ht="15" customHeight="1">
      <c r="A24" s="176" t="s">
        <v>158</v>
      </c>
      <c r="B24" s="176"/>
      <c r="C24" s="176"/>
      <c r="D24" s="176"/>
    </row>
    <row r="25" spans="1:4" ht="15" customHeight="1">
      <c r="A25" s="72" t="s">
        <v>159</v>
      </c>
    </row>
    <row r="26" spans="1:4" ht="21.75" customHeight="1">
      <c r="A26" s="73" t="s">
        <v>162</v>
      </c>
    </row>
    <row r="27" spans="1:4" ht="15" customHeight="1">
      <c r="A27" s="73" t="s">
        <v>163</v>
      </c>
    </row>
    <row r="28" spans="1:4" ht="15" customHeight="1">
      <c r="A28" s="73" t="s">
        <v>164</v>
      </c>
    </row>
    <row r="29" spans="1:4" ht="21.75" customHeight="1">
      <c r="A29" s="73" t="s">
        <v>165</v>
      </c>
    </row>
    <row r="30" spans="1:4" ht="21.75" customHeight="1">
      <c r="A30" s="73" t="s">
        <v>166</v>
      </c>
    </row>
    <row r="31" spans="1:4" ht="15" customHeight="1"/>
    <row r="32" spans="1:4" ht="15" customHeight="1">
      <c r="A32" s="146" t="s">
        <v>167</v>
      </c>
      <c r="B32" s="146"/>
      <c r="C32" s="146"/>
      <c r="D32" s="146"/>
    </row>
    <row r="33" spans="1:5" ht="48" customHeight="1">
      <c r="A33" s="74" t="s">
        <v>103</v>
      </c>
      <c r="B33" s="74" t="s">
        <v>168</v>
      </c>
      <c r="C33" s="74" t="s">
        <v>169</v>
      </c>
      <c r="D33" s="74" t="s">
        <v>170</v>
      </c>
    </row>
    <row r="34" spans="1:5" ht="15" customHeight="1">
      <c r="A34" s="75" t="s">
        <v>171</v>
      </c>
      <c r="B34" s="76"/>
      <c r="C34" s="76"/>
      <c r="D34" s="77"/>
    </row>
    <row r="35" spans="1:5" ht="39" customHeight="1">
      <c r="A35" s="78" t="s">
        <v>172</v>
      </c>
      <c r="B35" s="79" t="s">
        <v>173</v>
      </c>
      <c r="C35" s="79" t="s">
        <v>174</v>
      </c>
      <c r="D35" s="143" t="s">
        <v>175</v>
      </c>
    </row>
    <row r="36" spans="1:5" ht="21.75" customHeight="1">
      <c r="A36" s="78"/>
      <c r="B36" s="79"/>
      <c r="C36" s="79"/>
      <c r="D36" s="79"/>
    </row>
    <row r="37" spans="1:5" ht="21.75" customHeight="1">
      <c r="A37" s="75" t="s">
        <v>176</v>
      </c>
      <c r="B37" s="76"/>
      <c r="C37" s="76"/>
      <c r="D37" s="77"/>
    </row>
    <row r="38" spans="1:5" ht="21.75" customHeight="1">
      <c r="A38" s="78" t="s">
        <v>172</v>
      </c>
      <c r="B38" s="79" t="s">
        <v>177</v>
      </c>
      <c r="C38" s="79" t="s">
        <v>178</v>
      </c>
      <c r="D38" s="79" t="s">
        <v>179</v>
      </c>
    </row>
    <row r="39" spans="1:5" ht="45" customHeight="1"/>
    <row r="40" spans="1:5" ht="15" customHeight="1">
      <c r="A40" s="146" t="s">
        <v>180</v>
      </c>
      <c r="B40" s="146"/>
      <c r="C40" s="146"/>
      <c r="D40" s="146"/>
    </row>
    <row r="41" spans="1:5" ht="28.5" customHeight="1">
      <c r="A41" s="74" t="s">
        <v>181</v>
      </c>
      <c r="B41" s="74" t="s">
        <v>182</v>
      </c>
      <c r="C41" s="74" t="s">
        <v>183</v>
      </c>
      <c r="D41" s="74" t="s">
        <v>184</v>
      </c>
      <c r="E41" s="74" t="s">
        <v>185</v>
      </c>
    </row>
    <row r="42" spans="1:5" ht="15" customHeight="1">
      <c r="A42" s="175" t="s">
        <v>186</v>
      </c>
      <c r="B42" s="175"/>
      <c r="C42" s="175"/>
      <c r="D42" s="175"/>
      <c r="E42" s="80" t="s">
        <v>187</v>
      </c>
    </row>
    <row r="43" spans="1:5" ht="15" customHeight="1">
      <c r="A43" s="175" t="s">
        <v>188</v>
      </c>
      <c r="B43" s="175"/>
      <c r="C43" s="175"/>
      <c r="D43" s="175"/>
      <c r="E43" s="80" t="s">
        <v>189</v>
      </c>
    </row>
    <row r="44" spans="1:5" ht="15" customHeight="1">
      <c r="A44" s="175" t="s">
        <v>190</v>
      </c>
      <c r="B44" s="175"/>
      <c r="C44" s="175"/>
      <c r="D44" s="175"/>
      <c r="E44" s="80" t="s">
        <v>191</v>
      </c>
    </row>
    <row r="45" spans="1:5" ht="15" customHeight="1">
      <c r="A45" s="175" t="s">
        <v>192</v>
      </c>
      <c r="B45" s="175"/>
      <c r="C45" s="175"/>
      <c r="D45" s="175"/>
      <c r="E45" s="80" t="s">
        <v>193</v>
      </c>
    </row>
    <row r="46" spans="1:5" ht="15" customHeight="1">
      <c r="A46" s="75" t="s">
        <v>194</v>
      </c>
      <c r="B46" s="76"/>
      <c r="C46" s="76"/>
      <c r="D46" s="77"/>
      <c r="E46" s="80" t="s">
        <v>195</v>
      </c>
    </row>
    <row r="48" spans="1:5" ht="15" customHeight="1">
      <c r="A48" s="81" t="s">
        <v>196</v>
      </c>
    </row>
    <row r="49" spans="1:5" ht="27.75" customHeight="1"/>
    <row r="50" spans="1:5" ht="21.75" customHeight="1">
      <c r="A50" s="171" t="s">
        <v>197</v>
      </c>
      <c r="B50" s="171"/>
      <c r="C50" s="171"/>
      <c r="D50" s="171"/>
      <c r="E50" s="82"/>
    </row>
    <row r="51" spans="1:5" ht="6.75" customHeight="1">
      <c r="A51" s="82"/>
      <c r="B51" s="82"/>
      <c r="C51" s="82"/>
      <c r="D51" s="82"/>
      <c r="E51" s="82"/>
    </row>
    <row r="52" spans="1:5" ht="21.75" customHeight="1">
      <c r="A52" s="174" t="s">
        <v>198</v>
      </c>
      <c r="B52" s="174"/>
      <c r="C52" s="174"/>
      <c r="D52" s="83" t="s">
        <v>460</v>
      </c>
      <c r="E52" s="82"/>
    </row>
    <row r="53" spans="1:5" ht="27.75" customHeight="1">
      <c r="A53" s="170" t="s">
        <v>462</v>
      </c>
      <c r="B53" s="170"/>
      <c r="C53" s="170"/>
      <c r="D53" s="170"/>
      <c r="E53" s="82"/>
    </row>
    <row r="54" spans="1:5" ht="42" customHeight="1">
      <c r="A54" s="173" t="s">
        <v>463</v>
      </c>
      <c r="B54" s="173"/>
      <c r="C54" s="173"/>
      <c r="D54" s="173"/>
      <c r="E54" s="82"/>
    </row>
    <row r="55" spans="1:5" ht="28" customHeight="1">
      <c r="A55" s="82"/>
      <c r="B55" s="82"/>
      <c r="C55" s="82"/>
      <c r="D55" s="82"/>
      <c r="E55" s="82"/>
    </row>
    <row r="56" spans="1:5" ht="21.75" customHeight="1">
      <c r="A56" s="174" t="s">
        <v>199</v>
      </c>
      <c r="B56" s="174"/>
      <c r="C56" s="174"/>
      <c r="D56" s="84" t="s">
        <v>461</v>
      </c>
      <c r="E56" s="82"/>
    </row>
    <row r="57" spans="1:5" ht="18" customHeight="1">
      <c r="A57" s="173" t="s">
        <v>464</v>
      </c>
      <c r="B57" s="173"/>
      <c r="C57" s="173"/>
      <c r="D57" s="173"/>
      <c r="E57" s="82"/>
    </row>
    <row r="58" spans="1:5" ht="6.75" customHeight="1">
      <c r="A58" s="82"/>
      <c r="B58" s="82"/>
      <c r="C58" s="82"/>
      <c r="D58" s="82"/>
      <c r="E58" s="82"/>
    </row>
    <row r="59" spans="1:5" ht="21.75" customHeight="1">
      <c r="A59" s="174" t="s">
        <v>200</v>
      </c>
      <c r="B59" s="174"/>
      <c r="C59" s="174"/>
      <c r="D59" s="85" t="s">
        <v>201</v>
      </c>
      <c r="E59" s="82"/>
    </row>
    <row r="60" spans="1:5" ht="27.75" customHeight="1">
      <c r="A60" s="170" t="s">
        <v>202</v>
      </c>
      <c r="B60" s="170"/>
      <c r="C60" s="170"/>
      <c r="D60" s="170"/>
      <c r="E60" s="82"/>
    </row>
    <row r="61" spans="1:5" ht="6.75" customHeight="1">
      <c r="A61" s="82"/>
      <c r="B61" s="82"/>
      <c r="C61" s="82"/>
      <c r="D61" s="82"/>
      <c r="E61" s="82"/>
    </row>
    <row r="62" spans="1:5" ht="25.5" customHeight="1">
      <c r="A62" s="171" t="s">
        <v>203</v>
      </c>
      <c r="B62" s="171"/>
      <c r="C62" s="171"/>
      <c r="D62" s="86" t="s">
        <v>465</v>
      </c>
      <c r="E62" s="82"/>
    </row>
    <row r="63" spans="1:5" ht="18" customHeight="1">
      <c r="A63" s="172" t="s">
        <v>204</v>
      </c>
      <c r="B63" s="172"/>
      <c r="C63" s="172"/>
      <c r="D63" s="172"/>
      <c r="E63" s="82"/>
    </row>
    <row r="64" spans="1:5" ht="15" customHeight="1">
      <c r="A64" s="82"/>
      <c r="B64" s="82"/>
      <c r="C64" s="82"/>
      <c r="D64" s="82"/>
      <c r="E64" s="82"/>
    </row>
    <row r="65" spans="1:5" ht="15" customHeight="1">
      <c r="A65" s="82"/>
      <c r="B65" s="82"/>
      <c r="C65" s="82"/>
      <c r="D65" s="82"/>
      <c r="E65" s="82"/>
    </row>
  </sheetData>
  <mergeCells count="38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D24"/>
    <mergeCell ref="A32:D32"/>
    <mergeCell ref="A40:D40"/>
    <mergeCell ref="A42:D42"/>
    <mergeCell ref="A43:D43"/>
    <mergeCell ref="A44:D44"/>
    <mergeCell ref="A45:D45"/>
    <mergeCell ref="A50:D50"/>
    <mergeCell ref="A52:C52"/>
    <mergeCell ref="A60:D60"/>
    <mergeCell ref="A62:C62"/>
    <mergeCell ref="A63:D63"/>
    <mergeCell ref="A53:D53"/>
    <mergeCell ref="A54:D54"/>
    <mergeCell ref="A56:C56"/>
    <mergeCell ref="A57:D57"/>
    <mergeCell ref="A59:C59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topLeftCell="A47" zoomScale="180" zoomScaleNormal="180" workbookViewId="0">
      <selection activeCell="E14" sqref="E14"/>
    </sheetView>
  </sheetViews>
  <sheetFormatPr baseColWidth="10" defaultColWidth="8.6640625" defaultRowHeight="15"/>
  <cols>
    <col min="1" max="1" width="38" customWidth="1"/>
    <col min="2" max="5" width="18" customWidth="1"/>
  </cols>
  <sheetData>
    <row r="1" spans="1:5" ht="17.25" customHeight="1">
      <c r="A1" s="186" t="s">
        <v>205</v>
      </c>
      <c r="B1" s="186"/>
      <c r="C1" s="186"/>
      <c r="D1" s="186"/>
      <c r="E1" s="186"/>
    </row>
    <row r="2" spans="1:5" ht="15" customHeight="1">
      <c r="A2" s="185" t="s">
        <v>206</v>
      </c>
      <c r="B2" s="185"/>
      <c r="C2" s="185"/>
      <c r="D2" s="185"/>
      <c r="E2" s="185"/>
    </row>
    <row r="4" spans="1:5" ht="15" customHeight="1">
      <c r="A4" s="146" t="s">
        <v>207</v>
      </c>
      <c r="B4" s="146"/>
      <c r="C4" s="146"/>
      <c r="D4" s="146"/>
      <c r="E4" s="146"/>
    </row>
    <row r="5" spans="1:5" ht="15" customHeight="1">
      <c r="A5" s="74" t="s">
        <v>11</v>
      </c>
      <c r="B5" s="74" t="s">
        <v>208</v>
      </c>
      <c r="C5" s="74" t="s">
        <v>209</v>
      </c>
      <c r="D5" s="74" t="s">
        <v>210</v>
      </c>
      <c r="E5" s="74" t="s">
        <v>211</v>
      </c>
    </row>
    <row r="6" spans="1:5" ht="15" customHeight="1">
      <c r="A6" s="87"/>
      <c r="B6" s="80"/>
      <c r="C6" s="80"/>
      <c r="D6" s="80"/>
      <c r="E6" s="80"/>
    </row>
    <row r="7" spans="1:5" ht="15" customHeight="1">
      <c r="A7" s="88" t="s">
        <v>212</v>
      </c>
      <c r="B7" s="89">
        <f>'Conservative (80%)'!B69</f>
        <v>98665433.679735377</v>
      </c>
      <c r="C7" s="89">
        <f>'Base Case - Hybrid Model'!B69</f>
        <v>93076436.61474897</v>
      </c>
      <c r="D7" s="89">
        <f>'Aggressive (140%)'!B69</f>
        <v>136838521.09317973</v>
      </c>
      <c r="E7" s="80" t="s">
        <v>213</v>
      </c>
    </row>
    <row r="8" spans="1:5" ht="15" customHeight="1">
      <c r="A8" s="88" t="s">
        <v>214</v>
      </c>
      <c r="B8" s="89">
        <f>'Conservative (80%)'!B70</f>
        <v>80806059.17485559</v>
      </c>
      <c r="C8" s="89">
        <f>'Base Case - Hybrid Model'!B70</f>
        <v>76066562.843497381</v>
      </c>
      <c r="D8" s="89">
        <f>'Aggressive (140%)'!B70</f>
        <v>112503517.05509691</v>
      </c>
      <c r="E8" s="80" t="s">
        <v>213</v>
      </c>
    </row>
    <row r="9" spans="1:5" ht="15" customHeight="1">
      <c r="A9" s="88" t="s">
        <v>215</v>
      </c>
      <c r="B9" s="89">
        <f>'Conservative (80%)'!B71</f>
        <v>66496346.842089638</v>
      </c>
      <c r="C9" s="89">
        <f>'Base Case - Hybrid Model'!B71</f>
        <v>62444733.898078203</v>
      </c>
      <c r="D9" s="89">
        <f>'Aggressive (140%)'!B71</f>
        <v>92999454.884869441</v>
      </c>
      <c r="E9" s="80" t="s">
        <v>213</v>
      </c>
    </row>
    <row r="10" spans="1:5" ht="15" customHeight="1">
      <c r="A10" s="87"/>
      <c r="B10" s="80"/>
      <c r="C10" s="80"/>
      <c r="D10" s="80"/>
      <c r="E10" s="80"/>
    </row>
    <row r="11" spans="1:5" ht="15" customHeight="1">
      <c r="A11" s="88" t="s">
        <v>133</v>
      </c>
      <c r="B11" s="90">
        <f>IFERROR('Conservative (80%)'!B73,"N/A")</f>
        <v>1.3390510952659711</v>
      </c>
      <c r="C11" s="90">
        <f>IFERROR('Base Case - Hybrid Model'!B73,"N/A")</f>
        <v>1.288465962360668</v>
      </c>
      <c r="D11" s="90">
        <f>IFERROR('Aggressive (140%)'!B73,"N/A")</f>
        <v>1.5009547972575801</v>
      </c>
      <c r="E11" s="80" t="s">
        <v>216</v>
      </c>
    </row>
    <row r="12" spans="1:5" ht="15" customHeight="1">
      <c r="A12" s="88" t="s">
        <v>217</v>
      </c>
      <c r="B12" s="91">
        <f>IFERROR('Conservative (80%)'!B76,"N/A")</f>
        <v>71.708200372786578</v>
      </c>
      <c r="C12" s="91">
        <f>IFERROR('Base Case - Hybrid Model'!B76,"N/A")</f>
        <v>68.272219012115571</v>
      </c>
      <c r="D12" s="91">
        <f>IFERROR('Aggressive (140%)'!B76,"N/A")</f>
        <v>97.713047530288904</v>
      </c>
      <c r="E12" s="80" t="s">
        <v>218</v>
      </c>
    </row>
    <row r="13" spans="1:5" ht="15" customHeight="1">
      <c r="A13" s="87"/>
      <c r="B13" s="80"/>
      <c r="C13" s="80"/>
      <c r="D13" s="80"/>
      <c r="E13" s="80"/>
    </row>
    <row r="14" spans="1:5" ht="15" customHeight="1">
      <c r="A14" s="88" t="s">
        <v>219</v>
      </c>
      <c r="B14" s="89">
        <f>'Conservative (80%)'!B78</f>
        <v>5365000</v>
      </c>
      <c r="C14" s="89">
        <f>'Base Case - Hybrid Model'!B78</f>
        <v>5365000</v>
      </c>
      <c r="D14" s="89">
        <f>'Aggressive (140%)'!B78</f>
        <v>5365000</v>
      </c>
      <c r="E14" s="92" t="s">
        <v>466</v>
      </c>
    </row>
    <row r="15" spans="1:5" ht="15" customHeight="1">
      <c r="A15" s="88" t="s">
        <v>220</v>
      </c>
      <c r="B15" s="80" t="s">
        <v>186</v>
      </c>
      <c r="C15" s="80" t="s">
        <v>186</v>
      </c>
      <c r="D15" s="80" t="s">
        <v>186</v>
      </c>
      <c r="E15" s="80" t="s">
        <v>221</v>
      </c>
    </row>
    <row r="16" spans="1:5" ht="15" customHeight="1">
      <c r="A16" s="87"/>
      <c r="B16" s="80"/>
      <c r="C16" s="80"/>
      <c r="D16" s="80"/>
      <c r="E16" s="80"/>
    </row>
    <row r="17" spans="1:5" ht="22.5" customHeight="1">
      <c r="A17" s="88" t="s">
        <v>222</v>
      </c>
      <c r="B17" s="89">
        <f>'Conservative (80%)'!B81</f>
        <v>220754775</v>
      </c>
      <c r="C17" s="89">
        <f>'Base Case - Hybrid Model'!B81</f>
        <v>212713350</v>
      </c>
      <c r="D17" s="89">
        <f>'Aggressive (140%)'!B81</f>
        <v>297254775</v>
      </c>
      <c r="E17" s="80" t="s">
        <v>208</v>
      </c>
    </row>
    <row r="18" spans="1:5" ht="15" customHeight="1">
      <c r="A18" s="88" t="s">
        <v>223</v>
      </c>
      <c r="B18" s="89">
        <f>'Conservative (80%)'!B82</f>
        <v>353207640</v>
      </c>
      <c r="C18" s="89">
        <f>'Base Case - Hybrid Model'!B82</f>
        <v>340341360</v>
      </c>
      <c r="D18" s="89">
        <f>'Aggressive (140%)'!B82</f>
        <v>475607640</v>
      </c>
      <c r="E18" s="80" t="s">
        <v>224</v>
      </c>
    </row>
    <row r="19" spans="1:5" ht="15" customHeight="1">
      <c r="A19" s="88" t="s">
        <v>225</v>
      </c>
      <c r="B19" s="89">
        <f>'Conservative (80%)'!B83</f>
        <v>441509550</v>
      </c>
      <c r="C19" s="89">
        <f>'Base Case - Hybrid Model'!B83</f>
        <v>425426700</v>
      </c>
      <c r="D19" s="89">
        <f>'Aggressive (140%)'!B83</f>
        <v>594509550</v>
      </c>
      <c r="E19" s="80" t="s">
        <v>226</v>
      </c>
    </row>
    <row r="20" spans="1:5" ht="15" customHeight="1">
      <c r="A20" s="87"/>
      <c r="B20" s="80"/>
      <c r="C20" s="80"/>
      <c r="D20" s="80"/>
      <c r="E20" s="80"/>
    </row>
    <row r="21" spans="1:5" ht="15" customHeight="1">
      <c r="A21" s="88" t="s">
        <v>227</v>
      </c>
      <c r="B21" s="91">
        <f>'Conservative (80%)'!B85</f>
        <v>65.835534016775398</v>
      </c>
      <c r="C21" s="91">
        <f>'Base Case - Hybrid Model'!B85</f>
        <v>63.437345759552656</v>
      </c>
      <c r="D21" s="91">
        <f>'Aggressive (140%)'!B85</f>
        <v>88.650072693383038</v>
      </c>
      <c r="E21" s="80" t="s">
        <v>228</v>
      </c>
    </row>
    <row r="23" spans="1:5" ht="15" customHeight="1">
      <c r="A23" s="146" t="s">
        <v>229</v>
      </c>
      <c r="B23" s="146"/>
      <c r="C23" s="146"/>
      <c r="D23" s="146"/>
      <c r="E23" s="146"/>
    </row>
    <row r="24" spans="1:5" ht="15" customHeight="1">
      <c r="A24" s="74" t="s">
        <v>11</v>
      </c>
      <c r="B24" s="74" t="s">
        <v>208</v>
      </c>
      <c r="C24" s="74" t="s">
        <v>209</v>
      </c>
      <c r="D24" s="74" t="s">
        <v>210</v>
      </c>
      <c r="E24" s="74" t="s">
        <v>211</v>
      </c>
    </row>
    <row r="25" spans="1:5" ht="15" customHeight="1">
      <c r="A25" s="87"/>
      <c r="B25" s="80"/>
      <c r="C25" s="80"/>
      <c r="D25" s="80"/>
      <c r="E25" s="80"/>
    </row>
    <row r="26" spans="1:5" ht="15" customHeight="1">
      <c r="A26" s="88" t="s">
        <v>230</v>
      </c>
      <c r="B26" s="90">
        <f>'Conservative (80%)'!B66</f>
        <v>1.3554253711228723</v>
      </c>
      <c r="C26" s="90">
        <f>'Base Case - Hybrid Model'!B66</f>
        <v>1.5476944685150791</v>
      </c>
      <c r="D26" s="90">
        <f>'Aggressive (140%)'!B66</f>
        <v>1.5373129266564765</v>
      </c>
      <c r="E26" s="80" t="s">
        <v>231</v>
      </c>
    </row>
    <row r="27" spans="1:5" ht="15" customHeight="1">
      <c r="A27" s="88" t="s">
        <v>232</v>
      </c>
      <c r="B27" s="90">
        <f>'Conservative (80%)'!B67</f>
        <v>1.1706422081393097</v>
      </c>
      <c r="C27" s="90">
        <f>'Base Case - Hybrid Model'!B67</f>
        <v>1.2087381843623266</v>
      </c>
      <c r="D27" s="90">
        <f>'Aggressive (140%)'!B67</f>
        <v>1.2795070569547775</v>
      </c>
      <c r="E27" s="80" t="s">
        <v>233</v>
      </c>
    </row>
    <row r="28" spans="1:5" ht="15" customHeight="1">
      <c r="A28" s="87"/>
      <c r="B28" s="80"/>
      <c r="C28" s="80"/>
      <c r="D28" s="80"/>
      <c r="E28" s="80"/>
    </row>
    <row r="29" spans="1:5" ht="15" customHeight="1">
      <c r="A29" s="88" t="s">
        <v>234</v>
      </c>
      <c r="B29" s="89">
        <f>'Conservative (80%)'!C31</f>
        <v>1434375</v>
      </c>
      <c r="C29" s="89">
        <f>'Base Case - Hybrid Model'!C31</f>
        <v>1009800</v>
      </c>
      <c r="D29" s="89">
        <f>'Aggressive (140%)'!C31</f>
        <v>1434375</v>
      </c>
      <c r="E29" s="80"/>
    </row>
    <row r="30" spans="1:5" ht="15" customHeight="1">
      <c r="A30" s="88" t="s">
        <v>16</v>
      </c>
      <c r="B30" s="89">
        <f>'Conservative (80%)'!G31</f>
        <v>44150955</v>
      </c>
      <c r="C30" s="89">
        <f>'Base Case - Hybrid Model'!G31</f>
        <v>42542670</v>
      </c>
      <c r="D30" s="89">
        <f>'Aggressive (140%)'!G31</f>
        <v>59450955</v>
      </c>
      <c r="E30" s="80" t="s">
        <v>235</v>
      </c>
    </row>
    <row r="31" spans="1:5" ht="15" customHeight="1">
      <c r="A31" s="87"/>
      <c r="B31" s="80"/>
      <c r="C31" s="80"/>
      <c r="D31" s="80"/>
      <c r="E31" s="80"/>
    </row>
    <row r="32" spans="1:5" ht="15" customHeight="1">
      <c r="A32" s="88" t="s">
        <v>236</v>
      </c>
      <c r="B32" s="89">
        <f>'Conservative (80%)'!C52</f>
        <v>-522325</v>
      </c>
      <c r="C32" s="89">
        <f>'Base Case - Hybrid Model'!C52</f>
        <v>-931900</v>
      </c>
      <c r="D32" s="89">
        <f>'Aggressive (140%)'!C52</f>
        <v>-432325</v>
      </c>
      <c r="E32" s="80"/>
    </row>
    <row r="33" spans="1:5" ht="15" customHeight="1">
      <c r="A33" s="88" t="s">
        <v>18</v>
      </c>
      <c r="B33" s="89">
        <f>'Conservative (80%)'!G52</f>
        <v>23505095</v>
      </c>
      <c r="C33" s="89">
        <f>'Base Case - Hybrid Model'!G52</f>
        <v>20852810</v>
      </c>
      <c r="D33" s="89">
        <f>'Aggressive (140%)'!G52</f>
        <v>34773095</v>
      </c>
      <c r="E33" s="80"/>
    </row>
    <row r="34" spans="1:5" ht="15" customHeight="1">
      <c r="A34" s="87"/>
      <c r="B34" s="80"/>
      <c r="C34" s="80"/>
      <c r="D34" s="80"/>
      <c r="E34" s="80"/>
    </row>
    <row r="35" spans="1:5" ht="15" customHeight="1">
      <c r="A35" s="88" t="s">
        <v>237</v>
      </c>
      <c r="B35" s="90">
        <f>'Conservative (80%)'!C53</f>
        <v>-0.36414814814814817</v>
      </c>
      <c r="C35" s="90">
        <f>'Base Case - Hybrid Model'!C53</f>
        <v>-0.92285601109130522</v>
      </c>
      <c r="D35" s="90">
        <f>'Aggressive (140%)'!C53</f>
        <v>-0.30140305010893248</v>
      </c>
      <c r="E35" s="80"/>
    </row>
    <row r="36" spans="1:5" ht="15" customHeight="1">
      <c r="A36" s="88" t="s">
        <v>238</v>
      </c>
      <c r="B36" s="90">
        <f>'Conservative (80%)'!G53</f>
        <v>0.53238021691716519</v>
      </c>
      <c r="C36" s="90">
        <f>'Base Case - Hybrid Model'!G53</f>
        <v>0.490162230062194</v>
      </c>
      <c r="D36" s="90">
        <f>'Aggressive (140%)'!G53</f>
        <v>0.58490389262880638</v>
      </c>
      <c r="E36" s="80" t="s">
        <v>239</v>
      </c>
    </row>
    <row r="37" spans="1:5" ht="15" customHeight="1">
      <c r="A37" s="87"/>
      <c r="B37" s="80"/>
      <c r="C37" s="80"/>
      <c r="D37" s="80"/>
      <c r="E37" s="80"/>
    </row>
    <row r="38" spans="1:5" ht="15" customHeight="1">
      <c r="A38" s="88" t="s">
        <v>240</v>
      </c>
      <c r="B38" s="93">
        <f>'Conservative (80%)'!G12</f>
        <v>1665000</v>
      </c>
      <c r="C38" s="93">
        <f>'Base Case - Hybrid Model'!G12</f>
        <v>1785000</v>
      </c>
      <c r="D38" s="93">
        <f>'Aggressive (140%)'!G12</f>
        <v>2025000</v>
      </c>
      <c r="E38" s="80"/>
    </row>
    <row r="39" spans="1:5" ht="15" customHeight="1">
      <c r="A39" s="88" t="s">
        <v>241</v>
      </c>
      <c r="B39" s="94">
        <f>'Conservative (80%)'!G13</f>
        <v>1.3875000000000001E-3</v>
      </c>
      <c r="C39" s="94">
        <f>'Base Case - Hybrid Model'!G13</f>
        <v>1.4875000000000001E-3</v>
      </c>
      <c r="D39" s="94">
        <f>'Aggressive (140%)'!G13</f>
        <v>1.6875E-3</v>
      </c>
      <c r="E39" s="80" t="s">
        <v>242</v>
      </c>
    </row>
    <row r="40" spans="1:5" ht="15" customHeight="1">
      <c r="A40" s="87"/>
      <c r="B40" s="80"/>
      <c r="C40" s="80"/>
      <c r="D40" s="80"/>
      <c r="E40" s="80"/>
    </row>
    <row r="41" spans="1:5" ht="15" customHeight="1">
      <c r="A41" s="88" t="s">
        <v>243</v>
      </c>
      <c r="B41" s="89">
        <f>'Conservative (80%)'!G60</f>
        <v>36871855</v>
      </c>
      <c r="C41" s="89">
        <f>'Base Case - Hybrid Model'!G60</f>
        <v>31304095</v>
      </c>
      <c r="D41" s="89">
        <f>'Aggressive (140%)'!G60</f>
        <v>53987860</v>
      </c>
      <c r="E41" s="80" t="s">
        <v>244</v>
      </c>
    </row>
    <row r="43" spans="1:5" ht="15" customHeight="1">
      <c r="A43" s="146" t="s">
        <v>245</v>
      </c>
      <c r="B43" s="146"/>
      <c r="C43" s="146"/>
      <c r="D43" s="146"/>
      <c r="E43" s="146"/>
    </row>
    <row r="44" spans="1:5" ht="15" customHeight="1">
      <c r="A44" s="74" t="s">
        <v>11</v>
      </c>
      <c r="B44" s="74" t="s">
        <v>246</v>
      </c>
      <c r="C44" s="74" t="s">
        <v>247</v>
      </c>
      <c r="D44" s="74" t="s">
        <v>248</v>
      </c>
      <c r="E44" s="74" t="s">
        <v>34</v>
      </c>
    </row>
    <row r="45" spans="1:5" ht="15" customHeight="1">
      <c r="A45" s="87"/>
      <c r="B45" s="80"/>
      <c r="C45" s="80"/>
      <c r="D45" s="80"/>
      <c r="E45" s="80"/>
    </row>
    <row r="46" spans="1:5" ht="24" customHeight="1">
      <c r="A46" s="88" t="s">
        <v>249</v>
      </c>
      <c r="B46" s="80" t="s">
        <v>250</v>
      </c>
      <c r="C46" s="80" t="s">
        <v>251</v>
      </c>
      <c r="D46" s="80" t="s">
        <v>252</v>
      </c>
      <c r="E46" s="80" t="s">
        <v>253</v>
      </c>
    </row>
    <row r="47" spans="1:5" ht="15" customHeight="1">
      <c r="A47" s="88" t="s">
        <v>254</v>
      </c>
      <c r="B47" s="80" t="s">
        <v>255</v>
      </c>
      <c r="C47" s="80" t="s">
        <v>256</v>
      </c>
      <c r="D47" s="80"/>
      <c r="E47" s="80" t="s">
        <v>257</v>
      </c>
    </row>
    <row r="48" spans="1:5" ht="15" customHeight="1">
      <c r="A48" s="87"/>
      <c r="B48" s="80"/>
      <c r="C48" s="80"/>
      <c r="D48" s="80"/>
      <c r="E48" s="80"/>
    </row>
    <row r="49" spans="1:5" ht="15" customHeight="1">
      <c r="A49" s="88" t="s">
        <v>258</v>
      </c>
      <c r="B49" s="80" t="s">
        <v>259</v>
      </c>
      <c r="C49" s="80" t="s">
        <v>260</v>
      </c>
      <c r="D49" s="80"/>
      <c r="E49" s="80" t="s">
        <v>261</v>
      </c>
    </row>
    <row r="50" spans="1:5" ht="15" customHeight="1">
      <c r="A50" s="88" t="s">
        <v>262</v>
      </c>
      <c r="B50" s="95" t="s">
        <v>263</v>
      </c>
      <c r="C50" s="80" t="s">
        <v>264</v>
      </c>
      <c r="D50" s="80"/>
      <c r="E50" s="80" t="s">
        <v>265</v>
      </c>
    </row>
    <row r="51" spans="1:5" ht="15" customHeight="1">
      <c r="A51" s="88" t="s">
        <v>266</v>
      </c>
      <c r="B51" s="96" t="s">
        <v>267</v>
      </c>
      <c r="C51" s="80" t="s">
        <v>268</v>
      </c>
      <c r="D51" s="80"/>
      <c r="E51" s="80" t="s">
        <v>269</v>
      </c>
    </row>
    <row r="52" spans="1:5" ht="15" customHeight="1">
      <c r="A52" s="87"/>
      <c r="B52" s="80"/>
      <c r="C52" s="80"/>
      <c r="D52" s="80"/>
      <c r="E52" s="80"/>
    </row>
    <row r="53" spans="1:5" ht="28.5" customHeight="1">
      <c r="A53" s="88" t="s">
        <v>270</v>
      </c>
      <c r="B53" s="80" t="s">
        <v>271</v>
      </c>
      <c r="C53" s="80" t="s">
        <v>271</v>
      </c>
      <c r="D53" s="80" t="s">
        <v>271</v>
      </c>
      <c r="E53" s="80" t="s">
        <v>272</v>
      </c>
    </row>
    <row r="54" spans="1:5" ht="15" customHeight="1">
      <c r="A54" s="88" t="s">
        <v>273</v>
      </c>
      <c r="B54" s="80" t="s">
        <v>274</v>
      </c>
      <c r="C54" s="80" t="s">
        <v>275</v>
      </c>
      <c r="D54" s="80" t="s">
        <v>276</v>
      </c>
      <c r="E54" s="80" t="s">
        <v>277</v>
      </c>
    </row>
    <row r="55" spans="1:5" ht="15" customHeight="1">
      <c r="A55" s="87"/>
      <c r="B55" s="80"/>
      <c r="C55" s="80"/>
      <c r="D55" s="80"/>
      <c r="E55" s="80"/>
    </row>
    <row r="56" spans="1:5" ht="27.75" customHeight="1">
      <c r="A56" s="88" t="s">
        <v>278</v>
      </c>
      <c r="B56" s="80" t="s">
        <v>279</v>
      </c>
      <c r="C56" s="80" t="s">
        <v>280</v>
      </c>
      <c r="D56" s="80"/>
      <c r="E56" s="80" t="s">
        <v>281</v>
      </c>
    </row>
    <row r="57" spans="1:5" ht="21.75" customHeight="1">
      <c r="A57" s="88" t="s">
        <v>282</v>
      </c>
      <c r="B57" s="80" t="s">
        <v>283</v>
      </c>
      <c r="C57" s="80" t="s">
        <v>284</v>
      </c>
      <c r="D57" s="80"/>
      <c r="E57" s="80" t="s">
        <v>285</v>
      </c>
    </row>
    <row r="58" spans="1:5" ht="39" customHeight="1">
      <c r="A58" s="88" t="s">
        <v>286</v>
      </c>
      <c r="B58" s="80" t="s">
        <v>287</v>
      </c>
      <c r="C58" s="80" t="s">
        <v>288</v>
      </c>
      <c r="D58" s="80"/>
      <c r="E58" s="80" t="s">
        <v>289</v>
      </c>
    </row>
  </sheetData>
  <mergeCells count="5">
    <mergeCell ref="A1:E1"/>
    <mergeCell ref="A2:E2"/>
    <mergeCell ref="A4:E4"/>
    <mergeCell ref="A23:E23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topLeftCell="A41" zoomScale="180" zoomScaleNormal="180" workbookViewId="0">
      <selection activeCell="B17" sqref="B17"/>
    </sheetView>
  </sheetViews>
  <sheetFormatPr baseColWidth="10" defaultColWidth="8.6640625" defaultRowHeight="15"/>
  <cols>
    <col min="1" max="1" width="60" customWidth="1"/>
    <col min="2" max="2" width="40" customWidth="1"/>
  </cols>
  <sheetData>
    <row r="1" spans="1:2" ht="18" customHeight="1">
      <c r="A1" s="189" t="s">
        <v>290</v>
      </c>
      <c r="B1" s="189"/>
    </row>
    <row r="3" spans="1:2" ht="15.75" customHeight="1">
      <c r="A3" s="190" t="s">
        <v>291</v>
      </c>
      <c r="B3" s="190"/>
    </row>
    <row r="5" spans="1:2" ht="15" customHeight="1">
      <c r="A5" s="191" t="s">
        <v>292</v>
      </c>
      <c r="B5" s="191"/>
    </row>
    <row r="6" spans="1:2" ht="15" customHeight="1">
      <c r="A6" s="98" t="s">
        <v>293</v>
      </c>
      <c r="B6" s="99" t="s">
        <v>294</v>
      </c>
    </row>
    <row r="7" spans="1:2" ht="15" customHeight="1">
      <c r="A7" s="98" t="s">
        <v>295</v>
      </c>
      <c r="B7" s="99" t="s">
        <v>296</v>
      </c>
    </row>
    <row r="8" spans="1:2" ht="15" customHeight="1">
      <c r="A8" s="98" t="s">
        <v>297</v>
      </c>
      <c r="B8" s="99" t="s">
        <v>298</v>
      </c>
    </row>
    <row r="9" spans="1:2" ht="15" customHeight="1">
      <c r="A9" s="98" t="s">
        <v>299</v>
      </c>
      <c r="B9" s="99" t="s">
        <v>300</v>
      </c>
    </row>
    <row r="10" spans="1:2" ht="15" customHeight="1">
      <c r="A10" s="98" t="s">
        <v>301</v>
      </c>
      <c r="B10" s="99" t="s">
        <v>302</v>
      </c>
    </row>
    <row r="12" spans="1:2" ht="15" customHeight="1">
      <c r="A12" s="192" t="s">
        <v>303</v>
      </c>
      <c r="B12" s="192"/>
    </row>
    <row r="13" spans="1:2" ht="15" customHeight="1">
      <c r="A13" s="100" t="s">
        <v>304</v>
      </c>
      <c r="B13" s="101" t="s">
        <v>305</v>
      </c>
    </row>
    <row r="14" spans="1:2" ht="15" customHeight="1">
      <c r="A14" s="100" t="s">
        <v>306</v>
      </c>
      <c r="B14" s="101" t="s">
        <v>307</v>
      </c>
    </row>
    <row r="15" spans="1:2" ht="15" customHeight="1">
      <c r="A15" s="102" t="s">
        <v>308</v>
      </c>
    </row>
    <row r="16" spans="1:2" ht="15" customHeight="1">
      <c r="A16" s="103" t="s">
        <v>309</v>
      </c>
      <c r="B16" s="99" t="s">
        <v>310</v>
      </c>
    </row>
    <row r="17" spans="1:2" ht="15" customHeight="1">
      <c r="A17" s="103" t="s">
        <v>311</v>
      </c>
      <c r="B17" s="99" t="s">
        <v>467</v>
      </c>
    </row>
    <row r="18" spans="1:2" ht="15" customHeight="1">
      <c r="A18" s="103" t="s">
        <v>312</v>
      </c>
      <c r="B18" s="99" t="s">
        <v>313</v>
      </c>
    </row>
    <row r="19" spans="1:2" ht="15" customHeight="1">
      <c r="A19" s="103" t="s">
        <v>314</v>
      </c>
      <c r="B19" s="99" t="s">
        <v>315</v>
      </c>
    </row>
    <row r="20" spans="1:2" ht="15" customHeight="1">
      <c r="A20" s="103" t="s">
        <v>316</v>
      </c>
      <c r="B20" s="99" t="s">
        <v>317</v>
      </c>
    </row>
    <row r="21" spans="1:2" ht="15" customHeight="1">
      <c r="A21" s="103" t="s">
        <v>318</v>
      </c>
      <c r="B21" s="99" t="s">
        <v>319</v>
      </c>
    </row>
    <row r="22" spans="1:2" ht="15" customHeight="1">
      <c r="A22" s="193" t="s">
        <v>320</v>
      </c>
      <c r="B22" s="193"/>
    </row>
    <row r="23" spans="1:2" ht="25.5" customHeight="1"/>
    <row r="24" spans="1:2" ht="15" customHeight="1"/>
    <row r="25" spans="1:2" ht="15" customHeight="1">
      <c r="A25" s="71" t="s">
        <v>321</v>
      </c>
    </row>
    <row r="26" spans="1:2" ht="15" customHeight="1">
      <c r="A26" s="104" t="s">
        <v>322</v>
      </c>
      <c r="B26" s="105" t="s">
        <v>323</v>
      </c>
    </row>
    <row r="27" spans="1:2" ht="15" customHeight="1">
      <c r="A27" s="106" t="s">
        <v>324</v>
      </c>
      <c r="B27" s="105" t="s">
        <v>325</v>
      </c>
    </row>
    <row r="28" spans="1:2" ht="15" customHeight="1">
      <c r="A28" s="105"/>
      <c r="B28" s="105" t="s">
        <v>326</v>
      </c>
    </row>
    <row r="29" spans="1:2" ht="25.5" customHeight="1">
      <c r="A29" s="105"/>
      <c r="B29" s="105" t="s">
        <v>327</v>
      </c>
    </row>
    <row r="30" spans="1:2" ht="15" customHeight="1">
      <c r="A30" s="105"/>
      <c r="B30" s="105" t="s">
        <v>328</v>
      </c>
    </row>
    <row r="31" spans="1:2" ht="15" customHeight="1">
      <c r="A31" s="105"/>
      <c r="B31" s="105"/>
    </row>
    <row r="32" spans="1:2" ht="15" customHeight="1">
      <c r="A32" s="104" t="s">
        <v>329</v>
      </c>
      <c r="B32" s="105" t="s">
        <v>330</v>
      </c>
    </row>
    <row r="33" spans="1:2" ht="15" customHeight="1">
      <c r="A33" s="106" t="s">
        <v>331</v>
      </c>
      <c r="B33" s="105" t="s">
        <v>332</v>
      </c>
    </row>
    <row r="34" spans="1:2" ht="15" customHeight="1">
      <c r="A34" s="105"/>
      <c r="B34" s="105" t="s">
        <v>333</v>
      </c>
    </row>
    <row r="35" spans="1:2" ht="15" customHeight="1">
      <c r="A35" s="105"/>
      <c r="B35" s="105"/>
    </row>
    <row r="36" spans="1:2" ht="15" customHeight="1">
      <c r="A36" s="104" t="s">
        <v>334</v>
      </c>
      <c r="B36" s="105" t="s">
        <v>335</v>
      </c>
    </row>
    <row r="37" spans="1:2" ht="15" customHeight="1">
      <c r="A37" s="106" t="s">
        <v>324</v>
      </c>
      <c r="B37" s="105" t="s">
        <v>336</v>
      </c>
    </row>
    <row r="38" spans="1:2" ht="15" customHeight="1">
      <c r="A38" s="187"/>
      <c r="B38" s="187"/>
    </row>
    <row r="39" spans="1:2" ht="25.5" customHeight="1"/>
    <row r="40" spans="1:2" ht="15" customHeight="1"/>
    <row r="41" spans="1:2" ht="15" customHeight="1">
      <c r="A41" s="97" t="s">
        <v>337</v>
      </c>
    </row>
    <row r="42" spans="1:2" ht="15" customHeight="1">
      <c r="A42" s="106" t="s">
        <v>338</v>
      </c>
      <c r="B42" s="107" t="s">
        <v>339</v>
      </c>
    </row>
    <row r="43" spans="1:2" ht="15" customHeight="1">
      <c r="A43" s="108" t="s">
        <v>340</v>
      </c>
      <c r="B43" s="107" t="s">
        <v>341</v>
      </c>
    </row>
    <row r="44" spans="1:2" ht="15" customHeight="1">
      <c r="A44" s="105"/>
      <c r="B44" s="107"/>
    </row>
    <row r="45" spans="1:2" ht="15" customHeight="1">
      <c r="A45" s="106" t="s">
        <v>338</v>
      </c>
      <c r="B45" s="107" t="s">
        <v>342</v>
      </c>
    </row>
    <row r="46" spans="1:2" ht="15" customHeight="1">
      <c r="A46" s="108" t="s">
        <v>340</v>
      </c>
      <c r="B46" s="107" t="s">
        <v>343</v>
      </c>
    </row>
    <row r="47" spans="1:2" ht="15" customHeight="1">
      <c r="A47" s="105"/>
      <c r="B47" s="107"/>
    </row>
    <row r="48" spans="1:2" ht="15" customHeight="1">
      <c r="A48" s="106" t="s">
        <v>338</v>
      </c>
      <c r="B48" s="107" t="s">
        <v>344</v>
      </c>
    </row>
    <row r="49" spans="1:2" ht="15" customHeight="1">
      <c r="A49" s="108" t="s">
        <v>340</v>
      </c>
      <c r="B49" s="107" t="s">
        <v>345</v>
      </c>
    </row>
    <row r="50" spans="1:2" ht="15" customHeight="1">
      <c r="A50" s="105"/>
      <c r="B50" s="107"/>
    </row>
    <row r="51" spans="1:2" ht="15" customHeight="1">
      <c r="A51" s="106" t="s">
        <v>338</v>
      </c>
      <c r="B51" s="107" t="s">
        <v>346</v>
      </c>
    </row>
    <row r="52" spans="1:2" ht="15" customHeight="1">
      <c r="A52" s="188" t="s">
        <v>340</v>
      </c>
      <c r="B52" s="188"/>
    </row>
    <row r="53" spans="1:2" ht="116.25" customHeight="1">
      <c r="A53" s="144"/>
      <c r="B53" s="144"/>
    </row>
    <row r="55" spans="1:2" ht="15" customHeight="1">
      <c r="A55" s="109"/>
      <c r="B55" s="77"/>
    </row>
    <row r="56" spans="1:2" ht="15" customHeight="1">
      <c r="A56" s="99"/>
      <c r="B56" s="77"/>
    </row>
  </sheetData>
  <mergeCells count="8">
    <mergeCell ref="A38:B38"/>
    <mergeCell ref="A52:B52"/>
    <mergeCell ref="A53:B53"/>
    <mergeCell ref="A1:B1"/>
    <mergeCell ref="A3:B3"/>
    <mergeCell ref="A5:B5"/>
    <mergeCell ref="A12:B12"/>
    <mergeCell ref="A22:B2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43" zoomScale="180" zoomScaleNormal="180" workbookViewId="0">
      <selection activeCell="A53" sqref="A53:B53"/>
    </sheetView>
  </sheetViews>
  <sheetFormatPr baseColWidth="10" defaultColWidth="8.6640625" defaultRowHeight="15"/>
  <cols>
    <col min="1" max="1" width="60" customWidth="1"/>
    <col min="2" max="2" width="40" customWidth="1"/>
  </cols>
  <sheetData>
    <row r="1" spans="1:2" ht="18" customHeight="1">
      <c r="A1" s="189" t="s">
        <v>290</v>
      </c>
      <c r="B1" s="189"/>
    </row>
    <row r="3" spans="1:2" ht="15.75" customHeight="1">
      <c r="A3" s="190" t="s">
        <v>291</v>
      </c>
      <c r="B3" s="190"/>
    </row>
    <row r="5" spans="1:2" ht="15" customHeight="1">
      <c r="A5" s="191" t="s">
        <v>292</v>
      </c>
      <c r="B5" s="191"/>
    </row>
    <row r="6" spans="1:2" ht="25.5" customHeight="1">
      <c r="A6" s="98" t="s">
        <v>347</v>
      </c>
      <c r="B6" s="99" t="s">
        <v>294</v>
      </c>
    </row>
    <row r="7" spans="1:2" ht="15" customHeight="1">
      <c r="A7" s="98" t="s">
        <v>295</v>
      </c>
      <c r="B7" s="99" t="s">
        <v>296</v>
      </c>
    </row>
    <row r="8" spans="1:2" ht="15" customHeight="1">
      <c r="A8" s="98" t="s">
        <v>297</v>
      </c>
      <c r="B8" s="99" t="s">
        <v>298</v>
      </c>
    </row>
    <row r="9" spans="1:2" ht="15" customHeight="1">
      <c r="A9" s="98" t="s">
        <v>299</v>
      </c>
      <c r="B9" s="99" t="s">
        <v>300</v>
      </c>
    </row>
    <row r="10" spans="1:2" ht="15" customHeight="1">
      <c r="A10" s="98" t="s">
        <v>301</v>
      </c>
      <c r="B10" s="99" t="s">
        <v>302</v>
      </c>
    </row>
    <row r="12" spans="1:2" ht="15" customHeight="1">
      <c r="A12" s="192" t="s">
        <v>303</v>
      </c>
      <c r="B12" s="192"/>
    </row>
    <row r="13" spans="1:2" ht="15" customHeight="1">
      <c r="A13" s="100" t="s">
        <v>304</v>
      </c>
      <c r="B13" s="101" t="s">
        <v>305</v>
      </c>
    </row>
    <row r="14" spans="1:2" ht="15" customHeight="1">
      <c r="A14" s="100" t="s">
        <v>306</v>
      </c>
      <c r="B14" s="101" t="s">
        <v>307</v>
      </c>
    </row>
    <row r="15" spans="1:2" ht="15" customHeight="1">
      <c r="A15" s="102" t="s">
        <v>308</v>
      </c>
    </row>
    <row r="16" spans="1:2" ht="15" customHeight="1">
      <c r="A16" s="103" t="s">
        <v>309</v>
      </c>
      <c r="B16" s="99" t="s">
        <v>310</v>
      </c>
    </row>
    <row r="17" spans="1:2" ht="15" customHeight="1">
      <c r="A17" s="103" t="s">
        <v>311</v>
      </c>
      <c r="B17" s="99" t="s">
        <v>348</v>
      </c>
    </row>
    <row r="18" spans="1:2" ht="15" customHeight="1">
      <c r="A18" s="103" t="s">
        <v>312</v>
      </c>
      <c r="B18" s="99" t="s">
        <v>313</v>
      </c>
    </row>
    <row r="19" spans="1:2" ht="15" customHeight="1">
      <c r="A19" s="103" t="s">
        <v>314</v>
      </c>
      <c r="B19" s="99" t="s">
        <v>315</v>
      </c>
    </row>
    <row r="20" spans="1:2" ht="15" customHeight="1">
      <c r="A20" s="103" t="s">
        <v>316</v>
      </c>
      <c r="B20" s="99" t="s">
        <v>317</v>
      </c>
    </row>
    <row r="21" spans="1:2" ht="15" customHeight="1">
      <c r="A21" s="103" t="s">
        <v>318</v>
      </c>
      <c r="B21" s="99" t="s">
        <v>319</v>
      </c>
    </row>
    <row r="22" spans="1:2" ht="15" customHeight="1">
      <c r="A22" s="193" t="s">
        <v>320</v>
      </c>
      <c r="B22" s="193"/>
    </row>
    <row r="23" spans="1:2" ht="25.5" customHeight="1"/>
    <row r="24" spans="1:2" ht="15" customHeight="1"/>
    <row r="25" spans="1:2" ht="15" customHeight="1">
      <c r="A25" s="71" t="s">
        <v>321</v>
      </c>
    </row>
    <row r="26" spans="1:2" ht="15" customHeight="1">
      <c r="A26" s="104" t="s">
        <v>322</v>
      </c>
      <c r="B26" s="105" t="s">
        <v>323</v>
      </c>
    </row>
    <row r="27" spans="1:2" ht="15" customHeight="1">
      <c r="A27" s="106" t="s">
        <v>324</v>
      </c>
      <c r="B27" s="105" t="s">
        <v>325</v>
      </c>
    </row>
    <row r="28" spans="1:2" ht="15" customHeight="1">
      <c r="A28" s="105"/>
      <c r="B28" s="105" t="s">
        <v>326</v>
      </c>
    </row>
    <row r="29" spans="1:2" ht="25.5" customHeight="1">
      <c r="A29" s="105"/>
      <c r="B29" s="105" t="s">
        <v>327</v>
      </c>
    </row>
    <row r="30" spans="1:2" ht="15" customHeight="1">
      <c r="A30" s="105"/>
      <c r="B30" s="105" t="s">
        <v>328</v>
      </c>
    </row>
    <row r="31" spans="1:2" ht="15" customHeight="1">
      <c r="A31" s="105"/>
      <c r="B31" s="105"/>
    </row>
    <row r="32" spans="1:2" ht="15" customHeight="1">
      <c r="A32" s="104" t="s">
        <v>329</v>
      </c>
      <c r="B32" s="105" t="s">
        <v>330</v>
      </c>
    </row>
    <row r="33" spans="1:2" ht="15" customHeight="1">
      <c r="A33" s="106" t="s">
        <v>331</v>
      </c>
      <c r="B33" s="105" t="s">
        <v>332</v>
      </c>
    </row>
    <row r="34" spans="1:2" ht="15" customHeight="1">
      <c r="A34" s="105"/>
      <c r="B34" s="105" t="s">
        <v>333</v>
      </c>
    </row>
    <row r="35" spans="1:2" ht="15" customHeight="1">
      <c r="A35" s="105"/>
      <c r="B35" s="105"/>
    </row>
    <row r="36" spans="1:2" ht="15" customHeight="1">
      <c r="A36" s="104" t="s">
        <v>334</v>
      </c>
      <c r="B36" s="105" t="s">
        <v>335</v>
      </c>
    </row>
    <row r="37" spans="1:2" ht="15" customHeight="1">
      <c r="A37" s="106" t="s">
        <v>324</v>
      </c>
      <c r="B37" s="105" t="s">
        <v>336</v>
      </c>
    </row>
    <row r="38" spans="1:2" ht="15" customHeight="1">
      <c r="A38" s="187"/>
      <c r="B38" s="187"/>
    </row>
    <row r="39" spans="1:2" ht="25.5" customHeight="1"/>
    <row r="40" spans="1:2" ht="15" customHeight="1"/>
    <row r="41" spans="1:2" ht="15" customHeight="1">
      <c r="A41" s="97" t="s">
        <v>337</v>
      </c>
    </row>
    <row r="42" spans="1:2" ht="15" customHeight="1">
      <c r="A42" s="106" t="s">
        <v>338</v>
      </c>
      <c r="B42" s="107" t="s">
        <v>339</v>
      </c>
    </row>
    <row r="43" spans="1:2" ht="15" customHeight="1">
      <c r="A43" s="108" t="s">
        <v>340</v>
      </c>
      <c r="B43" s="107" t="s">
        <v>341</v>
      </c>
    </row>
    <row r="44" spans="1:2" ht="15" customHeight="1">
      <c r="A44" s="105"/>
      <c r="B44" s="107"/>
    </row>
    <row r="45" spans="1:2" ht="15" customHeight="1">
      <c r="A45" s="106" t="s">
        <v>338</v>
      </c>
      <c r="B45" s="107" t="s">
        <v>342</v>
      </c>
    </row>
    <row r="46" spans="1:2" ht="15" customHeight="1">
      <c r="A46" s="108" t="s">
        <v>340</v>
      </c>
      <c r="B46" s="107" t="s">
        <v>343</v>
      </c>
    </row>
    <row r="47" spans="1:2" ht="15" customHeight="1">
      <c r="A47" s="105"/>
      <c r="B47" s="107"/>
    </row>
    <row r="48" spans="1:2" ht="15" customHeight="1">
      <c r="A48" s="106" t="s">
        <v>338</v>
      </c>
      <c r="B48" s="107" t="s">
        <v>344</v>
      </c>
    </row>
    <row r="49" spans="1:2" ht="15" customHeight="1">
      <c r="A49" s="108" t="s">
        <v>340</v>
      </c>
      <c r="B49" s="107" t="s">
        <v>345</v>
      </c>
    </row>
    <row r="50" spans="1:2" ht="15" customHeight="1">
      <c r="A50" s="105"/>
      <c r="B50" s="107"/>
    </row>
    <row r="51" spans="1:2" ht="15" customHeight="1">
      <c r="A51" s="106" t="s">
        <v>338</v>
      </c>
      <c r="B51" s="107" t="s">
        <v>346</v>
      </c>
    </row>
    <row r="52" spans="1:2" ht="15" customHeight="1">
      <c r="A52" s="188" t="s">
        <v>340</v>
      </c>
      <c r="B52" s="188"/>
    </row>
    <row r="53" spans="1:2" ht="116.25" customHeight="1">
      <c r="A53" s="144"/>
      <c r="B53" s="144"/>
    </row>
    <row r="55" spans="1:2" ht="15" customHeight="1">
      <c r="A55" s="110"/>
    </row>
    <row r="56" spans="1:2" ht="15" customHeight="1">
      <c r="A56" s="107"/>
    </row>
  </sheetData>
  <mergeCells count="8">
    <mergeCell ref="A38:B38"/>
    <mergeCell ref="A52:B52"/>
    <mergeCell ref="A53:B53"/>
    <mergeCell ref="A1:B1"/>
    <mergeCell ref="A3:B3"/>
    <mergeCell ref="A5:B5"/>
    <mergeCell ref="A12:B12"/>
    <mergeCell ref="A22:B2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6"/>
  <sheetViews>
    <sheetView topLeftCell="A46" zoomScale="150" zoomScaleNormal="150" workbookViewId="0">
      <selection activeCell="G38" sqref="G38"/>
    </sheetView>
  </sheetViews>
  <sheetFormatPr baseColWidth="10" defaultColWidth="8.6640625" defaultRowHeight="15"/>
  <cols>
    <col min="1" max="1" width="40" customWidth="1"/>
    <col min="2" max="2" width="18.5" customWidth="1"/>
    <col min="3" max="7" width="16" customWidth="1"/>
  </cols>
  <sheetData>
    <row r="1" spans="1:7" ht="17.25" customHeight="1">
      <c r="A1" s="145" t="s">
        <v>349</v>
      </c>
      <c r="B1" s="145"/>
      <c r="C1" s="145"/>
      <c r="D1" s="145"/>
      <c r="E1" s="145"/>
      <c r="F1" s="145"/>
      <c r="G1" s="145"/>
    </row>
    <row r="3" spans="1:7" ht="15" customHeight="1">
      <c r="C3" s="111" t="s">
        <v>186</v>
      </c>
      <c r="D3" s="111" t="s">
        <v>188</v>
      </c>
      <c r="E3" s="111" t="s">
        <v>190</v>
      </c>
      <c r="F3" s="111" t="s">
        <v>192</v>
      </c>
      <c r="G3" s="111" t="s">
        <v>194</v>
      </c>
    </row>
    <row r="5" spans="1:7" ht="15" customHeight="1">
      <c r="A5" s="146" t="s">
        <v>350</v>
      </c>
      <c r="B5" s="146"/>
    </row>
    <row r="6" spans="1:7" ht="15" customHeight="1">
      <c r="A6" t="s">
        <v>351</v>
      </c>
      <c r="B6" s="112">
        <v>1500000000</v>
      </c>
    </row>
    <row r="7" spans="1:7" ht="15" customHeight="1">
      <c r="A7" t="s">
        <v>352</v>
      </c>
      <c r="B7" s="112">
        <f>B6*0.8</f>
        <v>1200000000</v>
      </c>
    </row>
    <row r="9" spans="1:7" ht="15" customHeight="1">
      <c r="A9" s="146" t="s">
        <v>353</v>
      </c>
      <c r="B9" s="146"/>
    </row>
    <row r="10" spans="1:7" ht="15" customHeight="1">
      <c r="A10" t="s">
        <v>354</v>
      </c>
      <c r="C10" s="113">
        <v>75000</v>
      </c>
      <c r="D10" s="113">
        <v>195000</v>
      </c>
      <c r="E10" s="113">
        <v>345000</v>
      </c>
      <c r="F10" s="113">
        <v>595000</v>
      </c>
      <c r="G10" s="113">
        <v>1185000</v>
      </c>
    </row>
    <row r="11" spans="1:7" s="114" customFormat="1" ht="15" customHeight="1">
      <c r="A11" s="114" t="s">
        <v>355</v>
      </c>
      <c r="C11" s="115">
        <v>0</v>
      </c>
      <c r="D11" s="115">
        <v>12500</v>
      </c>
      <c r="E11" s="115">
        <v>81000</v>
      </c>
      <c r="F11" s="115">
        <v>296250</v>
      </c>
      <c r="G11" s="115">
        <v>600000</v>
      </c>
    </row>
    <row r="12" spans="1:7" ht="15" customHeight="1">
      <c r="A12" t="s">
        <v>356</v>
      </c>
      <c r="C12" s="116">
        <f>C10+C11</f>
        <v>75000</v>
      </c>
      <c r="D12" s="116">
        <f>D10+D11</f>
        <v>207500</v>
      </c>
      <c r="E12" s="116">
        <f>E10+E11</f>
        <v>426000</v>
      </c>
      <c r="F12" s="116">
        <f>F10+F11</f>
        <v>891250</v>
      </c>
      <c r="G12" s="116">
        <f>G10+G11</f>
        <v>1785000</v>
      </c>
    </row>
    <row r="13" spans="1:7" ht="15" customHeight="1">
      <c r="A13" t="s">
        <v>357</v>
      </c>
      <c r="C13" s="117">
        <f>C12/$B$7</f>
        <v>6.2500000000000001E-5</v>
      </c>
      <c r="D13" s="117">
        <f>D12/$B$7</f>
        <v>1.7291666666666668E-4</v>
      </c>
      <c r="E13" s="117">
        <f>E12/$B$7</f>
        <v>3.5500000000000001E-4</v>
      </c>
      <c r="F13" s="117">
        <f>F12/$B$7</f>
        <v>7.4270833333333328E-4</v>
      </c>
      <c r="G13" s="117">
        <f>G12/$B$7</f>
        <v>1.4875000000000001E-3</v>
      </c>
    </row>
    <row r="15" spans="1:7" ht="15" customHeight="1">
      <c r="A15" s="146" t="s">
        <v>358</v>
      </c>
      <c r="B15" s="146"/>
    </row>
    <row r="16" spans="1:7" ht="15" customHeight="1">
      <c r="A16" t="s">
        <v>359</v>
      </c>
      <c r="B16" s="118">
        <v>30.6</v>
      </c>
    </row>
    <row r="17" spans="1:7" ht="15" customHeight="1">
      <c r="A17" t="s">
        <v>360</v>
      </c>
      <c r="B17" s="119">
        <f>B16*0.9</f>
        <v>27.540000000000003</v>
      </c>
    </row>
    <row r="18" spans="1:7" ht="15" customHeight="1">
      <c r="A18" t="s">
        <v>361</v>
      </c>
      <c r="B18" s="120">
        <v>50</v>
      </c>
    </row>
    <row r="19" spans="1:7" ht="19.5" customHeight="1">
      <c r="A19" s="147" t="s">
        <v>362</v>
      </c>
      <c r="B19" s="147"/>
      <c r="C19" s="147"/>
      <c r="D19" s="147"/>
      <c r="E19" s="147"/>
      <c r="F19" s="147"/>
      <c r="G19" s="147"/>
    </row>
    <row r="20" spans="1:7" ht="15" customHeight="1">
      <c r="A20" t="s">
        <v>363</v>
      </c>
      <c r="B20" s="122">
        <v>0.3</v>
      </c>
    </row>
    <row r="21" spans="1:7" ht="15" customHeight="1">
      <c r="A21" t="s">
        <v>364</v>
      </c>
      <c r="B21" s="122">
        <v>0.26</v>
      </c>
    </row>
    <row r="22" spans="1:7" ht="15" customHeight="1">
      <c r="A22" s="144"/>
      <c r="B22" s="144"/>
    </row>
    <row r="23" spans="1:7" ht="15" customHeight="1">
      <c r="A23" s="71" t="s">
        <v>365</v>
      </c>
    </row>
    <row r="24" spans="1:7" ht="15" customHeight="1">
      <c r="A24" t="s">
        <v>366</v>
      </c>
      <c r="C24" s="123">
        <f>C10*$B$16</f>
        <v>2295000</v>
      </c>
      <c r="D24" s="123">
        <f>D10*$B$16</f>
        <v>5967000</v>
      </c>
      <c r="E24" s="123">
        <f>E10*$B$16</f>
        <v>10557000</v>
      </c>
      <c r="F24" s="123">
        <f>F10*$B$16</f>
        <v>18207000</v>
      </c>
      <c r="G24" s="123">
        <f>G10*$B$16</f>
        <v>36261000</v>
      </c>
    </row>
    <row r="25" spans="1:7" ht="15" customHeight="1">
      <c r="A25" t="s">
        <v>367</v>
      </c>
      <c r="C25" s="123">
        <f>C11*$B$18</f>
        <v>0</v>
      </c>
      <c r="D25" s="123">
        <f>D11*$B$18</f>
        <v>625000</v>
      </c>
      <c r="E25" s="123">
        <f>E11*$B$18</f>
        <v>4050000</v>
      </c>
      <c r="F25" s="123">
        <f>F11*$B$18</f>
        <v>14812500</v>
      </c>
      <c r="G25" s="123">
        <f>G11*$B$18</f>
        <v>30000000</v>
      </c>
    </row>
    <row r="26" spans="1:7" ht="15" customHeight="1">
      <c r="A26" t="s">
        <v>368</v>
      </c>
      <c r="C26" s="124">
        <f>C24+C25</f>
        <v>2295000</v>
      </c>
      <c r="D26" s="124">
        <f>D24+D25</f>
        <v>6592000</v>
      </c>
      <c r="E26" s="124">
        <f>E24+E25</f>
        <v>14607000</v>
      </c>
      <c r="F26" s="124">
        <f>F24+F25</f>
        <v>33019500</v>
      </c>
      <c r="G26" s="124">
        <f>G24+G25</f>
        <v>66261000</v>
      </c>
    </row>
    <row r="27" spans="1:7" ht="15" customHeight="1"/>
    <row r="28" spans="1:7" ht="15" customHeight="1">
      <c r="A28" t="s">
        <v>369</v>
      </c>
      <c r="C28" s="123">
        <f>-C24*0.3</f>
        <v>-688500</v>
      </c>
      <c r="D28" s="123">
        <f>-D24*0.27</f>
        <v>-1611090</v>
      </c>
      <c r="E28" s="123">
        <f>-E24*0.27</f>
        <v>-2850390</v>
      </c>
      <c r="F28" s="123">
        <f>-F24*0.27</f>
        <v>-4915890</v>
      </c>
      <c r="G28" s="123">
        <f>-G24*0.27</f>
        <v>-9790470</v>
      </c>
    </row>
    <row r="29" spans="1:7" ht="15" customHeight="1">
      <c r="A29" t="s">
        <v>370</v>
      </c>
      <c r="C29" s="123">
        <f>-C24*$B$21</f>
        <v>-596700</v>
      </c>
      <c r="D29" s="123">
        <f>-D24*$B$21</f>
        <v>-1551420</v>
      </c>
      <c r="E29" s="123">
        <f>-E24*$B$21</f>
        <v>-2744820</v>
      </c>
      <c r="F29" s="123">
        <f>-F24*$B$21</f>
        <v>-4733820</v>
      </c>
      <c r="G29" s="123">
        <f>-G24*$B$21</f>
        <v>-9427860</v>
      </c>
    </row>
    <row r="30" spans="1:7" ht="15" customHeight="1">
      <c r="A30" t="s">
        <v>371</v>
      </c>
      <c r="C30" s="123">
        <f>-C25*0.15</f>
        <v>0</v>
      </c>
      <c r="D30" s="123">
        <f>-D25*0.15</f>
        <v>-93750</v>
      </c>
      <c r="E30" s="123">
        <f>-E25*0.15</f>
        <v>-607500</v>
      </c>
      <c r="F30" s="123">
        <f>-F25*0.15</f>
        <v>-2221875</v>
      </c>
      <c r="G30" s="123">
        <f>-G25*0.15</f>
        <v>-4500000</v>
      </c>
    </row>
    <row r="31" spans="1:7" ht="15" customHeight="1">
      <c r="A31" t="s">
        <v>372</v>
      </c>
      <c r="C31" s="125">
        <f>C26+C28+C29+C30</f>
        <v>1009800</v>
      </c>
      <c r="D31" s="125">
        <f>D26+D28+D29+D30</f>
        <v>3335740</v>
      </c>
      <c r="E31" s="125">
        <f>E26+E28+E29+E30</f>
        <v>8404290</v>
      </c>
      <c r="F31" s="125">
        <f>F26+F28+F29+F30</f>
        <v>21147915</v>
      </c>
      <c r="G31" s="125">
        <f>G26+G28+G29+G30</f>
        <v>42542670</v>
      </c>
    </row>
    <row r="32" spans="1:7" ht="15" customHeight="1">
      <c r="A32" s="144"/>
      <c r="B32" s="144"/>
    </row>
    <row r="33" spans="1:7" ht="15" customHeight="1">
      <c r="A33" s="71" t="s">
        <v>373</v>
      </c>
    </row>
    <row r="34" spans="1:7" ht="15" customHeight="1">
      <c r="A34" t="s">
        <v>374</v>
      </c>
      <c r="B34" s="119">
        <v>0.5</v>
      </c>
      <c r="C34" s="123">
        <f>C12*0.5</f>
        <v>37500</v>
      </c>
      <c r="D34" s="123">
        <f>D12*0.5</f>
        <v>103750</v>
      </c>
      <c r="E34" s="123">
        <f>E12*0.5</f>
        <v>213000</v>
      </c>
      <c r="F34" s="123">
        <f>F12*0.5</f>
        <v>445625</v>
      </c>
      <c r="G34" s="123">
        <f>G12*0.5</f>
        <v>892500</v>
      </c>
    </row>
    <row r="35" spans="1:7" ht="15" customHeight="1">
      <c r="A35" t="s">
        <v>375</v>
      </c>
      <c r="B35" s="119">
        <v>0.4</v>
      </c>
      <c r="C35" s="123">
        <f>C12*0.4</f>
        <v>30000</v>
      </c>
      <c r="D35" s="123">
        <f>D12*0.4</f>
        <v>83000</v>
      </c>
      <c r="E35" s="123">
        <f>E12*0.4</f>
        <v>170400</v>
      </c>
      <c r="F35" s="123">
        <f>F12*0.4</f>
        <v>356500</v>
      </c>
      <c r="G35" s="123">
        <f>G12*0.4</f>
        <v>714000</v>
      </c>
    </row>
    <row r="36" spans="1:7" ht="15" customHeight="1">
      <c r="A36" t="s">
        <v>376</v>
      </c>
      <c r="B36" s="119">
        <v>0.3</v>
      </c>
      <c r="C36" s="123">
        <f>C12*0.3</f>
        <v>22500</v>
      </c>
      <c r="D36" s="123">
        <f>D12*0.3</f>
        <v>62250</v>
      </c>
      <c r="E36" s="123">
        <f>E12*0.3</f>
        <v>127800</v>
      </c>
      <c r="F36" s="123">
        <f>F12*0.3</f>
        <v>267375</v>
      </c>
      <c r="G36" s="123">
        <f>G12*0.3</f>
        <v>535500</v>
      </c>
    </row>
    <row r="37" spans="1:7" ht="15" customHeight="1">
      <c r="A37" t="s">
        <v>377</v>
      </c>
      <c r="C37" s="124">
        <f>SUM(C34:C36)</f>
        <v>90000</v>
      </c>
      <c r="D37" s="124">
        <f>SUM(D34:D36)</f>
        <v>249000</v>
      </c>
      <c r="E37" s="124">
        <f>SUM(E34:E36)</f>
        <v>511200</v>
      </c>
      <c r="F37" s="124">
        <f>SUM(F34:F36)</f>
        <v>1069500</v>
      </c>
      <c r="G37" s="124">
        <f>SUM(G34:G36)</f>
        <v>2142000</v>
      </c>
    </row>
    <row r="38" spans="1:7" ht="15" customHeight="1">
      <c r="A38" t="s">
        <v>378</v>
      </c>
      <c r="C38" s="124">
        <f>C31-C37</f>
        <v>919800</v>
      </c>
      <c r="D38" s="124">
        <f>D31-D37</f>
        <v>3086740</v>
      </c>
      <c r="E38" s="124">
        <f>E31-E37</f>
        <v>7893090</v>
      </c>
      <c r="F38" s="124">
        <f>F31-F37</f>
        <v>20078415</v>
      </c>
      <c r="G38" s="124">
        <f>G31-G37</f>
        <v>40400670</v>
      </c>
    </row>
    <row r="39" spans="1:7" ht="15" customHeight="1">
      <c r="A39" t="s">
        <v>379</v>
      </c>
      <c r="C39" s="126">
        <f>IF(C31&gt;0,(C31-C37)/C31,0)</f>
        <v>0.910873440285205</v>
      </c>
      <c r="D39" s="126">
        <f>IF(D31&gt;0,(D31-D37)/D31,0)</f>
        <v>0.92535389448817951</v>
      </c>
      <c r="E39" s="126">
        <f>IF(E31&gt;0,(E31-E37)/E31,0)</f>
        <v>0.93917392188989191</v>
      </c>
      <c r="F39" s="126">
        <f>IF(F31&gt;0,(F31-F37)/F31,0)</f>
        <v>0.94942763861118229</v>
      </c>
      <c r="G39" s="126">
        <f>IF(G31&gt;0,(G31-G37)/G31,0)</f>
        <v>0.94965055084694971</v>
      </c>
    </row>
    <row r="40" spans="1:7" ht="15" customHeight="1">
      <c r="A40" s="144"/>
      <c r="B40" s="144"/>
    </row>
    <row r="41" spans="1:7" ht="15" customHeight="1">
      <c r="A41" s="71" t="s">
        <v>380</v>
      </c>
    </row>
    <row r="42" spans="1:7" ht="15" customHeight="1">
      <c r="A42" t="s">
        <v>381</v>
      </c>
      <c r="C42" s="127">
        <v>400000</v>
      </c>
      <c r="D42" s="127">
        <v>800000</v>
      </c>
      <c r="E42" s="127">
        <v>1200000</v>
      </c>
      <c r="F42" s="127">
        <v>1600000</v>
      </c>
      <c r="G42" s="127">
        <v>2000000</v>
      </c>
    </row>
    <row r="43" spans="1:7" ht="15" customHeight="1">
      <c r="A43" t="s">
        <v>382</v>
      </c>
      <c r="C43" s="127">
        <v>350000</v>
      </c>
      <c r="D43" s="128">
        <v>200000</v>
      </c>
      <c r="E43" s="128">
        <v>50000</v>
      </c>
      <c r="F43" s="128">
        <v>50000</v>
      </c>
      <c r="G43" s="128">
        <v>50000</v>
      </c>
    </row>
    <row r="44" spans="1:7" ht="15" customHeight="1">
      <c r="A44" t="s">
        <v>412</v>
      </c>
      <c r="C44" s="127">
        <v>20000</v>
      </c>
      <c r="D44" s="127">
        <v>0</v>
      </c>
      <c r="E44" s="127">
        <v>0</v>
      </c>
      <c r="F44" s="127">
        <v>0</v>
      </c>
      <c r="G44" s="127">
        <v>0</v>
      </c>
    </row>
    <row r="45" spans="1:7" ht="19.5" customHeight="1">
      <c r="A45" s="129" t="s">
        <v>383</v>
      </c>
      <c r="C45" s="123">
        <v>135000</v>
      </c>
      <c r="D45" s="123">
        <v>20000</v>
      </c>
      <c r="E45" s="123">
        <v>20000</v>
      </c>
      <c r="F45" s="123">
        <v>20000</v>
      </c>
      <c r="G45" s="123">
        <v>20000</v>
      </c>
    </row>
    <row r="46" spans="1:7" ht="15" customHeight="1">
      <c r="A46" s="121" t="s">
        <v>384</v>
      </c>
    </row>
    <row r="47" spans="1:7" ht="15" customHeight="1">
      <c r="A47" t="s">
        <v>385</v>
      </c>
      <c r="C47" s="128">
        <f>50000+C24*0.26</f>
        <v>646700</v>
      </c>
      <c r="D47" s="128">
        <f>50000+D24*0.26+300000</f>
        <v>1901420</v>
      </c>
      <c r="E47" s="128">
        <f>50000+E24*0.26</f>
        <v>2794820</v>
      </c>
      <c r="F47" s="128">
        <f>50000+F24*0.26</f>
        <v>4783820</v>
      </c>
      <c r="G47" s="128">
        <f>50000+G24*0.26</f>
        <v>9477860</v>
      </c>
    </row>
    <row r="48" spans="1:7" ht="15" customHeight="1">
      <c r="A48" t="s">
        <v>386</v>
      </c>
      <c r="C48" s="127">
        <v>0</v>
      </c>
      <c r="D48" s="127">
        <v>500000</v>
      </c>
      <c r="E48" s="127">
        <v>2000000</v>
      </c>
      <c r="F48" s="127">
        <v>4000000</v>
      </c>
      <c r="G48" s="127">
        <v>6000000</v>
      </c>
    </row>
    <row r="49" spans="1:7" ht="15" customHeight="1">
      <c r="A49" t="s">
        <v>387</v>
      </c>
      <c r="C49" s="127">
        <v>300000</v>
      </c>
      <c r="D49" s="127">
        <v>600000</v>
      </c>
      <c r="E49" s="127">
        <v>900000</v>
      </c>
      <c r="F49" s="127">
        <v>1400000</v>
      </c>
      <c r="G49" s="127">
        <v>2000000</v>
      </c>
    </row>
    <row r="50" spans="1:7" ht="15" customHeight="1">
      <c r="A50" t="s">
        <v>388</v>
      </c>
      <c r="C50" s="124">
        <f>SUM(C42:C45,C47:C49)</f>
        <v>1851700</v>
      </c>
      <c r="D50" s="124">
        <f>SUM(D42:D45,D47:D49)</f>
        <v>4021420</v>
      </c>
      <c r="E50" s="124">
        <f>SUM(E42:E45,E47:E49)</f>
        <v>6964820</v>
      </c>
      <c r="F50" s="124">
        <f>SUM(F42:F45,F47:F49)</f>
        <v>11853820</v>
      </c>
      <c r="G50" s="124">
        <f>SUM(G42:G45,G47:G49)</f>
        <v>19547860</v>
      </c>
    </row>
    <row r="51" spans="1:7" ht="15" customHeight="1"/>
    <row r="52" spans="1:7" ht="15" customHeight="1">
      <c r="A52" s="144" t="s">
        <v>389</v>
      </c>
      <c r="B52" s="144"/>
      <c r="C52" s="124">
        <f>C38-C50</f>
        <v>-931900</v>
      </c>
      <c r="D52" s="124">
        <f>D38-D50</f>
        <v>-934680</v>
      </c>
      <c r="E52" s="124">
        <f>E38-E50</f>
        <v>928270</v>
      </c>
      <c r="F52" s="124">
        <f>F38-F50</f>
        <v>8224595</v>
      </c>
      <c r="G52" s="124">
        <f>G38-G50</f>
        <v>20852810</v>
      </c>
    </row>
    <row r="53" spans="1:7" ht="15" customHeight="1">
      <c r="A53" t="s">
        <v>390</v>
      </c>
      <c r="C53" s="126">
        <f>IF(C31&gt;0,C52/C31,0)</f>
        <v>-0.92285601109130522</v>
      </c>
      <c r="D53" s="126">
        <f>IF(D31&gt;0,D52/D31,0)</f>
        <v>-0.28020169437666004</v>
      </c>
      <c r="E53" s="126">
        <f>IF(E31&gt;0,E52/E31,0)</f>
        <v>0.11045192395788342</v>
      </c>
      <c r="F53" s="126">
        <f>IF(F31&gt;0,F52/F31,0)</f>
        <v>0.38890807911796504</v>
      </c>
      <c r="G53" s="126">
        <f>IF(G31&gt;0,G52/G31,0)</f>
        <v>0.490162230062194</v>
      </c>
    </row>
    <row r="54" spans="1:7" ht="15" customHeight="1"/>
    <row r="55" spans="1:7" ht="15" customHeight="1">
      <c r="A55" s="71" t="s">
        <v>391</v>
      </c>
    </row>
    <row r="56" spans="1:7" ht="15" customHeight="1">
      <c r="A56" t="s">
        <v>392</v>
      </c>
      <c r="C56" s="130">
        <v>-150000</v>
      </c>
      <c r="D56" s="130">
        <v>-250000</v>
      </c>
      <c r="E56" s="130">
        <v>-400000</v>
      </c>
      <c r="F56" s="130">
        <v>-600000</v>
      </c>
      <c r="G56" s="130">
        <v>-800000</v>
      </c>
    </row>
    <row r="57" spans="1:7" ht="15" customHeight="1">
      <c r="A57" t="s">
        <v>393</v>
      </c>
      <c r="C57" s="123">
        <f>C52+C56</f>
        <v>-1081900</v>
      </c>
      <c r="D57" s="123">
        <f>D52+D56</f>
        <v>-1184680</v>
      </c>
      <c r="E57" s="123">
        <f>E52+E56</f>
        <v>528270</v>
      </c>
      <c r="F57" s="123">
        <f>F52+F56</f>
        <v>7624595</v>
      </c>
      <c r="G57" s="123">
        <f>G52+G56</f>
        <v>20052810</v>
      </c>
    </row>
    <row r="58" spans="1:7" ht="15" customHeight="1"/>
    <row r="59" spans="1:7" ht="15" customHeight="1">
      <c r="A59" t="s">
        <v>394</v>
      </c>
      <c r="C59" s="128">
        <v>365000</v>
      </c>
      <c r="D59" s="127">
        <v>5000000</v>
      </c>
      <c r="E59" s="127">
        <v>0</v>
      </c>
      <c r="F59" s="127">
        <v>0</v>
      </c>
      <c r="G59" s="127">
        <v>0</v>
      </c>
    </row>
    <row r="60" spans="1:7" ht="15" customHeight="1">
      <c r="A60" t="s">
        <v>395</v>
      </c>
      <c r="C60" s="123">
        <f>C57+C59</f>
        <v>-716900</v>
      </c>
      <c r="D60" s="123">
        <f>D57+C60+D59</f>
        <v>3098420</v>
      </c>
      <c r="E60" s="123">
        <f>E57+D60+E59</f>
        <v>3626690</v>
      </c>
      <c r="F60" s="123">
        <f>F57+E60+F59</f>
        <v>11251285</v>
      </c>
      <c r="G60" s="123">
        <f>G57+F60+G59</f>
        <v>31304095</v>
      </c>
    </row>
    <row r="61" spans="1:7" ht="15" customHeight="1">
      <c r="C61" s="130"/>
      <c r="D61" s="130"/>
      <c r="E61" s="130"/>
      <c r="F61" s="130"/>
      <c r="G61" s="130"/>
    </row>
    <row r="62" spans="1:7" ht="15" customHeight="1">
      <c r="A62" s="144"/>
      <c r="B62" s="144"/>
    </row>
    <row r="63" spans="1:7" ht="15" customHeight="1">
      <c r="C63" s="130"/>
      <c r="D63" s="130"/>
      <c r="E63" s="130"/>
      <c r="F63" s="130"/>
      <c r="G63" s="130"/>
    </row>
    <row r="64" spans="1:7" ht="15" customHeight="1"/>
    <row r="65" spans="1:7" ht="15" customHeight="1">
      <c r="A65" s="131" t="s">
        <v>396</v>
      </c>
    </row>
    <row r="66" spans="1:7" ht="15" customHeight="1">
      <c r="A66" t="s">
        <v>230</v>
      </c>
      <c r="B66" s="126">
        <f>IFERROR(((G31/C31)^(1/4))-1,0)</f>
        <v>1.5476944685150791</v>
      </c>
    </row>
    <row r="67" spans="1:7" ht="15" customHeight="1">
      <c r="A67" t="s">
        <v>232</v>
      </c>
      <c r="B67" s="126">
        <f>((G12/C12)^(1/4))-1</f>
        <v>1.2087381843623266</v>
      </c>
    </row>
    <row r="68" spans="1:7" ht="15" customHeight="1"/>
    <row r="69" spans="1:7" ht="15" customHeight="1">
      <c r="A69" t="s">
        <v>397</v>
      </c>
      <c r="B69" s="124">
        <f>NPV(0.3,C57:F57,G57+G31*8)-(C59+D59)</f>
        <v>93076436.61474897</v>
      </c>
    </row>
    <row r="70" spans="1:7" ht="15" customHeight="1">
      <c r="A70" t="s">
        <v>398</v>
      </c>
      <c r="B70" s="123">
        <f>NPV(0.35,C57:F57,G57+G31*8)-(C59+D59)</f>
        <v>76066562.843497381</v>
      </c>
    </row>
    <row r="71" spans="1:7" ht="15" customHeight="1">
      <c r="A71" t="s">
        <v>399</v>
      </c>
      <c r="B71" s="123">
        <f>NPV(0.4,C57:F57,G57+G31*8)-(C59+D59)</f>
        <v>62444733.898078203</v>
      </c>
    </row>
    <row r="72" spans="1:7" ht="15" customHeight="1">
      <c r="B72" s="130"/>
    </row>
    <row r="73" spans="1:7" ht="15" customHeight="1">
      <c r="A73" t="s">
        <v>400</v>
      </c>
      <c r="B73" s="132">
        <f>IFERROR(IRR(B75:G75),"Calculating...")</f>
        <v>1.288465962360668</v>
      </c>
    </row>
    <row r="74" spans="1:7" ht="15" customHeight="1">
      <c r="A74" s="133" t="s">
        <v>401</v>
      </c>
      <c r="B74" s="130"/>
      <c r="C74" s="130"/>
      <c r="D74" s="130"/>
      <c r="E74" s="130"/>
      <c r="F74" s="130"/>
      <c r="G74" s="130"/>
    </row>
    <row r="75" spans="1:7" ht="15" customHeight="1">
      <c r="B75" s="134">
        <f>-(C59+D59)</f>
        <v>-5365000</v>
      </c>
      <c r="C75" s="130">
        <f>C57</f>
        <v>-1081900</v>
      </c>
      <c r="D75" s="130">
        <f>D57</f>
        <v>-1184680</v>
      </c>
      <c r="E75" s="130">
        <f>E57</f>
        <v>528270</v>
      </c>
      <c r="F75" s="130">
        <f>F57</f>
        <v>7624595</v>
      </c>
      <c r="G75" s="130">
        <f>G57+G31*8</f>
        <v>360394170</v>
      </c>
    </row>
    <row r="76" spans="1:7" ht="15" customHeight="1">
      <c r="A76" t="s">
        <v>402</v>
      </c>
      <c r="B76" s="135">
        <f>IFERROR((G60+G31*8-(C59+D59))/(C59+D59),0)</f>
        <v>68.272219012115571</v>
      </c>
    </row>
    <row r="77" spans="1:7" ht="15" customHeight="1">
      <c r="B77" s="122"/>
    </row>
    <row r="78" spans="1:7" ht="15" customHeight="1">
      <c r="A78" t="s">
        <v>403</v>
      </c>
      <c r="B78" s="124">
        <f>C59+D59</f>
        <v>5365000</v>
      </c>
    </row>
    <row r="79" spans="1:7" ht="15" customHeight="1">
      <c r="A79" t="s">
        <v>404</v>
      </c>
      <c r="B79" s="136">
        <f>IFERROR(IF(C60&gt;0,1,IF(D60&gt;0,2,IF(E60&gt;0,3,IF(F60&gt;0,4,IF(G60&gt;0,5,"No payback"))))),"N/A")</f>
        <v>2</v>
      </c>
    </row>
    <row r="80" spans="1:7" ht="15" customHeight="1"/>
    <row r="81" spans="1:2" ht="15" customHeight="1">
      <c r="A81" t="s">
        <v>405</v>
      </c>
      <c r="B81" s="123">
        <f>G31*5</f>
        <v>212713350</v>
      </c>
    </row>
    <row r="82" spans="1:2" ht="15" customHeight="1">
      <c r="A82" t="s">
        <v>406</v>
      </c>
      <c r="B82" s="123">
        <f>G31*8</f>
        <v>340341360</v>
      </c>
    </row>
    <row r="83" spans="1:2" ht="15" customHeight="1">
      <c r="A83" t="s">
        <v>407</v>
      </c>
      <c r="B83" s="123">
        <f>G31*10</f>
        <v>425426700</v>
      </c>
    </row>
    <row r="84" spans="1:2" ht="15" customHeight="1"/>
    <row r="85" spans="1:2" ht="15" customHeight="1">
      <c r="A85" t="s">
        <v>408</v>
      </c>
      <c r="B85" s="135">
        <f>IFERROR(B82/B78,0)</f>
        <v>63.437345759552656</v>
      </c>
    </row>
    <row r="86" spans="1:2" ht="15" customHeight="1">
      <c r="B86" s="137"/>
    </row>
  </sheetData>
  <mergeCells count="10">
    <mergeCell ref="A1:G1"/>
    <mergeCell ref="A5:B5"/>
    <mergeCell ref="A9:B9"/>
    <mergeCell ref="A15:B15"/>
    <mergeCell ref="A19:G19"/>
    <mergeCell ref="A22:B22"/>
    <mergeCell ref="A32:B32"/>
    <mergeCell ref="A40:B40"/>
    <mergeCell ref="A52:B52"/>
    <mergeCell ref="A62:B6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6"/>
  <sheetViews>
    <sheetView tabSelected="1" topLeftCell="A31" zoomScale="170" zoomScaleNormal="170" workbookViewId="0">
      <selection activeCell="C46" sqref="C46"/>
    </sheetView>
  </sheetViews>
  <sheetFormatPr baseColWidth="10" defaultColWidth="8.6640625" defaultRowHeight="15"/>
  <cols>
    <col min="1" max="1" width="40" customWidth="1"/>
    <col min="2" max="2" width="17" customWidth="1"/>
    <col min="3" max="7" width="16" customWidth="1"/>
  </cols>
  <sheetData>
    <row r="1" spans="1:7" ht="17.25" customHeight="1">
      <c r="A1" s="145" t="s">
        <v>409</v>
      </c>
      <c r="B1" s="145"/>
      <c r="C1" s="145"/>
      <c r="D1" s="145"/>
      <c r="E1" s="145"/>
      <c r="F1" s="145"/>
      <c r="G1" s="145"/>
    </row>
    <row r="3" spans="1:7" ht="15" customHeight="1">
      <c r="C3" s="111" t="s">
        <v>186</v>
      </c>
      <c r="D3" s="111" t="s">
        <v>188</v>
      </c>
      <c r="E3" s="111" t="s">
        <v>190</v>
      </c>
      <c r="F3" s="111" t="s">
        <v>192</v>
      </c>
      <c r="G3" s="111" t="s">
        <v>194</v>
      </c>
    </row>
    <row r="5" spans="1:7" ht="15" customHeight="1">
      <c r="A5" s="146" t="s">
        <v>350</v>
      </c>
      <c r="B5" s="146"/>
    </row>
    <row r="6" spans="1:7" ht="15" customHeight="1">
      <c r="A6" t="s">
        <v>351</v>
      </c>
      <c r="B6" s="112">
        <v>1500000000</v>
      </c>
    </row>
    <row r="7" spans="1:7" ht="15" customHeight="1">
      <c r="A7" t="s">
        <v>352</v>
      </c>
      <c r="B7" s="112">
        <f>B6*0.8</f>
        <v>1200000000</v>
      </c>
    </row>
    <row r="9" spans="1:7" ht="15" customHeight="1">
      <c r="A9" s="146" t="s">
        <v>353</v>
      </c>
      <c r="B9" s="146"/>
    </row>
    <row r="10" spans="1:7" ht="15" customHeight="1">
      <c r="A10" t="s">
        <v>354</v>
      </c>
      <c r="C10" s="113">
        <v>75000</v>
      </c>
      <c r="D10" s="113">
        <v>195000</v>
      </c>
      <c r="E10" s="113">
        <v>345000</v>
      </c>
      <c r="F10" s="113">
        <v>595000</v>
      </c>
      <c r="G10" s="113">
        <v>1185000</v>
      </c>
    </row>
    <row r="11" spans="1:7" ht="15" customHeight="1">
      <c r="A11" t="s">
        <v>355</v>
      </c>
      <c r="C11" s="113">
        <v>0</v>
      </c>
      <c r="D11" s="113">
        <v>10000</v>
      </c>
      <c r="E11" s="113">
        <v>64800</v>
      </c>
      <c r="F11" s="113">
        <v>237000</v>
      </c>
      <c r="G11" s="113">
        <v>480000</v>
      </c>
    </row>
    <row r="12" spans="1:7" ht="15" customHeight="1">
      <c r="A12" t="s">
        <v>356</v>
      </c>
      <c r="C12" s="116">
        <f>C10+C11</f>
        <v>75000</v>
      </c>
      <c r="D12" s="116">
        <f>D10+D11</f>
        <v>205000</v>
      </c>
      <c r="E12" s="116">
        <f>E10+E11</f>
        <v>409800</v>
      </c>
      <c r="F12" s="116">
        <f>F10+F11</f>
        <v>832000</v>
      </c>
      <c r="G12" s="116">
        <f>G10+G11</f>
        <v>1665000</v>
      </c>
    </row>
    <row r="13" spans="1:7" ht="15" customHeight="1">
      <c r="A13" t="s">
        <v>357</v>
      </c>
      <c r="C13" s="117">
        <f>C12/$B$7</f>
        <v>6.2500000000000001E-5</v>
      </c>
      <c r="D13" s="117">
        <f>D12/$B$7</f>
        <v>1.7083333333333333E-4</v>
      </c>
      <c r="E13" s="117">
        <f>E12/$B$7</f>
        <v>3.4150000000000001E-4</v>
      </c>
      <c r="F13" s="117">
        <f>F12/$B$7</f>
        <v>6.9333333333333334E-4</v>
      </c>
      <c r="G13" s="117">
        <f>G12/$B$7</f>
        <v>1.3875000000000001E-3</v>
      </c>
    </row>
    <row r="15" spans="1:7" ht="15" customHeight="1">
      <c r="A15" s="146" t="s">
        <v>358</v>
      </c>
      <c r="B15" s="146"/>
    </row>
    <row r="16" spans="1:7" ht="15" customHeight="1">
      <c r="A16" t="s">
        <v>359</v>
      </c>
      <c r="B16" s="118">
        <v>30.6</v>
      </c>
    </row>
    <row r="17" spans="1:7" ht="15" customHeight="1">
      <c r="A17" t="s">
        <v>360</v>
      </c>
      <c r="B17" s="119">
        <f>B16*0.9</f>
        <v>27.540000000000003</v>
      </c>
    </row>
    <row r="18" spans="1:7" ht="15" customHeight="1">
      <c r="A18" t="s">
        <v>361</v>
      </c>
      <c r="B18" s="120">
        <v>50</v>
      </c>
    </row>
    <row r="19" spans="1:7" ht="19.5" customHeight="1">
      <c r="A19" s="147" t="s">
        <v>362</v>
      </c>
      <c r="B19" s="147"/>
      <c r="C19" s="147"/>
      <c r="D19" s="147"/>
      <c r="E19" s="147"/>
      <c r="F19" s="147"/>
      <c r="G19" s="147"/>
    </row>
    <row r="20" spans="1:7" ht="15" customHeight="1">
      <c r="A20" t="s">
        <v>363</v>
      </c>
      <c r="B20" s="122">
        <v>0.3</v>
      </c>
    </row>
    <row r="21" spans="1:7" ht="15" customHeight="1">
      <c r="A21" t="s">
        <v>364</v>
      </c>
      <c r="B21" s="122">
        <v>7.4999999999999997E-2</v>
      </c>
    </row>
    <row r="22" spans="1:7" ht="15" customHeight="1">
      <c r="A22" s="144"/>
      <c r="B22" s="144"/>
    </row>
    <row r="23" spans="1:7" ht="15" customHeight="1">
      <c r="A23" s="71" t="s">
        <v>365</v>
      </c>
    </row>
    <row r="24" spans="1:7" ht="15" customHeight="1">
      <c r="A24" t="s">
        <v>366</v>
      </c>
      <c r="C24" s="123">
        <f>C10*$B$16</f>
        <v>2295000</v>
      </c>
      <c r="D24" s="123">
        <f>D10*$B$16</f>
        <v>5967000</v>
      </c>
      <c r="E24" s="123">
        <f>E10*$B$16</f>
        <v>10557000</v>
      </c>
      <c r="F24" s="123">
        <f>F10*$B$16</f>
        <v>18207000</v>
      </c>
      <c r="G24" s="123">
        <f>G10*$B$16</f>
        <v>36261000</v>
      </c>
    </row>
    <row r="25" spans="1:7" ht="15" customHeight="1">
      <c r="A25" t="s">
        <v>367</v>
      </c>
      <c r="C25" s="123">
        <f>C11*$B$18</f>
        <v>0</v>
      </c>
      <c r="D25" s="123">
        <f>D11*$B$18</f>
        <v>500000</v>
      </c>
      <c r="E25" s="123">
        <f>E11*$B$18</f>
        <v>3240000</v>
      </c>
      <c r="F25" s="123">
        <f>F11*$B$18</f>
        <v>11850000</v>
      </c>
      <c r="G25" s="123">
        <f>G11*$B$18</f>
        <v>24000000</v>
      </c>
    </row>
    <row r="26" spans="1:7" ht="15" customHeight="1">
      <c r="A26" t="s">
        <v>368</v>
      </c>
      <c r="C26" s="124">
        <f>C24+C25</f>
        <v>2295000</v>
      </c>
      <c r="D26" s="124">
        <f>D24+D25</f>
        <v>6467000</v>
      </c>
      <c r="E26" s="124">
        <f>E24+E25</f>
        <v>13797000</v>
      </c>
      <c r="F26" s="124">
        <f>F24+F25</f>
        <v>30057000</v>
      </c>
      <c r="G26" s="124">
        <f>G24+G25</f>
        <v>60261000</v>
      </c>
    </row>
    <row r="27" spans="1:7" ht="15" customHeight="1"/>
    <row r="28" spans="1:7" ht="15" customHeight="1">
      <c r="A28" t="s">
        <v>369</v>
      </c>
      <c r="C28" s="123">
        <f>-C24*0.3</f>
        <v>-688500</v>
      </c>
      <c r="D28" s="123">
        <f>-D24*0.27</f>
        <v>-1611090</v>
      </c>
      <c r="E28" s="123">
        <f>-E24*0.27</f>
        <v>-2850390</v>
      </c>
      <c r="F28" s="123">
        <f>-F24*0.27</f>
        <v>-4915890</v>
      </c>
      <c r="G28" s="123">
        <f>-G24*0.27</f>
        <v>-9790470</v>
      </c>
    </row>
    <row r="29" spans="1:7" ht="15" customHeight="1">
      <c r="A29" t="s">
        <v>370</v>
      </c>
      <c r="C29" s="123">
        <f>-C24*$B$21</f>
        <v>-172125</v>
      </c>
      <c r="D29" s="123">
        <f>-D24*$B$21</f>
        <v>-447525</v>
      </c>
      <c r="E29" s="123">
        <f>-E24*$B$21</f>
        <v>-791775</v>
      </c>
      <c r="F29" s="123">
        <f>-F24*$B$21</f>
        <v>-1365525</v>
      </c>
      <c r="G29" s="123">
        <f>-G24*$B$21</f>
        <v>-2719575</v>
      </c>
    </row>
    <row r="30" spans="1:7" ht="15" customHeight="1">
      <c r="A30" t="s">
        <v>371</v>
      </c>
      <c r="C30" s="123">
        <f>-C25*0.15</f>
        <v>0</v>
      </c>
      <c r="D30" s="123">
        <f>-D25*0.15</f>
        <v>-75000</v>
      </c>
      <c r="E30" s="123">
        <f>-E25*0.15</f>
        <v>-486000</v>
      </c>
      <c r="F30" s="123">
        <f>-F25*0.15</f>
        <v>-1777500</v>
      </c>
      <c r="G30" s="123">
        <f>-G25*0.15</f>
        <v>-3600000</v>
      </c>
    </row>
    <row r="31" spans="1:7" ht="15" customHeight="1">
      <c r="A31" t="s">
        <v>372</v>
      </c>
      <c r="C31" s="125">
        <f>C26+C28+C29+C30</f>
        <v>1434375</v>
      </c>
      <c r="D31" s="125">
        <f>D26+D28+D29+D30</f>
        <v>4333385</v>
      </c>
      <c r="E31" s="125">
        <f>E26+E28+E29+E30</f>
        <v>9668835</v>
      </c>
      <c r="F31" s="125">
        <f>F26+F28+F29+F30</f>
        <v>21998085</v>
      </c>
      <c r="G31" s="125">
        <f>G26+G28+G29+G30</f>
        <v>44150955</v>
      </c>
    </row>
    <row r="32" spans="1:7" ht="15" customHeight="1">
      <c r="A32" s="144"/>
      <c r="B32" s="144"/>
    </row>
    <row r="33" spans="1:7" ht="15" customHeight="1">
      <c r="A33" s="71" t="s">
        <v>373</v>
      </c>
    </row>
    <row r="34" spans="1:7" ht="15" customHeight="1">
      <c r="A34" t="s">
        <v>374</v>
      </c>
      <c r="B34" s="119">
        <v>0.5</v>
      </c>
      <c r="C34" s="123">
        <f>C12*0.5</f>
        <v>37500</v>
      </c>
      <c r="D34" s="123">
        <f>D12*0.5</f>
        <v>102500</v>
      </c>
      <c r="E34" s="123">
        <f>E12*0.5</f>
        <v>204900</v>
      </c>
      <c r="F34" s="123">
        <f>F12*0.5</f>
        <v>416000</v>
      </c>
      <c r="G34" s="123">
        <f>G12*0.5</f>
        <v>832500</v>
      </c>
    </row>
    <row r="35" spans="1:7" ht="15" customHeight="1">
      <c r="A35" t="s">
        <v>375</v>
      </c>
      <c r="B35" s="119">
        <v>0.4</v>
      </c>
      <c r="C35" s="123">
        <f>C12*0.4</f>
        <v>30000</v>
      </c>
      <c r="D35" s="123">
        <f>D12*0.4</f>
        <v>82000</v>
      </c>
      <c r="E35" s="123">
        <f>E12*0.4</f>
        <v>163920</v>
      </c>
      <c r="F35" s="123">
        <f>F12*0.4</f>
        <v>332800</v>
      </c>
      <c r="G35" s="123">
        <f>G12*0.4</f>
        <v>666000</v>
      </c>
    </row>
    <row r="36" spans="1:7" ht="15" customHeight="1">
      <c r="A36" t="s">
        <v>376</v>
      </c>
      <c r="B36" s="119">
        <v>0.3</v>
      </c>
      <c r="C36" s="123">
        <f>C12*0.3</f>
        <v>22500</v>
      </c>
      <c r="D36" s="123">
        <f>D12*0.3</f>
        <v>61500</v>
      </c>
      <c r="E36" s="123">
        <f>E12*0.3</f>
        <v>122940</v>
      </c>
      <c r="F36" s="123">
        <f>F12*0.3</f>
        <v>249600</v>
      </c>
      <c r="G36" s="123">
        <f>G12*0.3</f>
        <v>499500</v>
      </c>
    </row>
    <row r="37" spans="1:7" ht="15" customHeight="1">
      <c r="A37" t="s">
        <v>377</v>
      </c>
      <c r="C37" s="124">
        <f>SUM(C34:C36)</f>
        <v>90000</v>
      </c>
      <c r="D37" s="124">
        <f>SUM(D34:D36)</f>
        <v>246000</v>
      </c>
      <c r="E37" s="124">
        <f>SUM(E34:E36)</f>
        <v>491760</v>
      </c>
      <c r="F37" s="124">
        <f>SUM(F34:F36)</f>
        <v>998400</v>
      </c>
      <c r="G37" s="124">
        <f>SUM(G34:G36)</f>
        <v>1998000</v>
      </c>
    </row>
    <row r="38" spans="1:7" ht="15" customHeight="1">
      <c r="A38" t="s">
        <v>378</v>
      </c>
      <c r="C38" s="124">
        <f>C31-C37</f>
        <v>1344375</v>
      </c>
      <c r="D38" s="124">
        <f>D31-D37</f>
        <v>4087385</v>
      </c>
      <c r="E38" s="124">
        <f>E31-E37</f>
        <v>9177075</v>
      </c>
      <c r="F38" s="124">
        <f>F31-F37</f>
        <v>20999685</v>
      </c>
      <c r="G38" s="124">
        <f>G31-G37</f>
        <v>42152955</v>
      </c>
    </row>
    <row r="39" spans="1:7" ht="15" customHeight="1">
      <c r="A39" t="s">
        <v>379</v>
      </c>
      <c r="C39" s="126">
        <f>IF(C31&gt;0,(C31-C37)/C31,0)</f>
        <v>0.93725490196078431</v>
      </c>
      <c r="D39" s="126">
        <f>IF(D31&gt;0,(D31-D37)/D31,0)</f>
        <v>0.94323144608660436</v>
      </c>
      <c r="E39" s="126">
        <f>IF(E31&gt;0,(E31-E37)/E31,0)</f>
        <v>0.94913968435700891</v>
      </c>
      <c r="F39" s="126">
        <f>IF(F31&gt;0,(F31-F37)/F31,0)</f>
        <v>0.95461423119330613</v>
      </c>
      <c r="G39" s="126">
        <f>IF(G31&gt;0,(G31-G37)/G31,0)</f>
        <v>0.95474616573978976</v>
      </c>
    </row>
    <row r="40" spans="1:7" ht="15" customHeight="1">
      <c r="A40" s="144"/>
      <c r="B40" s="144"/>
    </row>
    <row r="41" spans="1:7" ht="15" customHeight="1">
      <c r="A41" s="71" t="s">
        <v>380</v>
      </c>
    </row>
    <row r="42" spans="1:7" ht="15" customHeight="1">
      <c r="A42" t="s">
        <v>381</v>
      </c>
      <c r="C42" s="127">
        <v>420000</v>
      </c>
      <c r="D42" s="127">
        <v>800000</v>
      </c>
      <c r="E42" s="127">
        <v>1200000</v>
      </c>
      <c r="F42" s="127">
        <v>1600000</v>
      </c>
      <c r="G42" s="127">
        <v>2000000</v>
      </c>
    </row>
    <row r="43" spans="1:7" ht="15" customHeight="1">
      <c r="A43" t="s">
        <v>382</v>
      </c>
      <c r="C43" s="127">
        <v>365000</v>
      </c>
      <c r="D43" s="128">
        <v>200000</v>
      </c>
      <c r="E43" s="128">
        <v>50000</v>
      </c>
      <c r="F43" s="128">
        <v>50000</v>
      </c>
      <c r="G43" s="128">
        <v>50000</v>
      </c>
    </row>
    <row r="44" spans="1:7" ht="15" customHeight="1">
      <c r="A44" t="s">
        <v>410</v>
      </c>
      <c r="C44" s="127">
        <v>0</v>
      </c>
      <c r="D44" s="127">
        <v>500000</v>
      </c>
      <c r="E44" s="127">
        <v>1000000</v>
      </c>
      <c r="F44" s="127">
        <v>500000</v>
      </c>
      <c r="G44" s="127">
        <v>300000</v>
      </c>
    </row>
    <row r="45" spans="1:7" ht="19.5" customHeight="1">
      <c r="A45" s="129" t="s">
        <v>383</v>
      </c>
      <c r="C45" s="123">
        <v>135000</v>
      </c>
      <c r="D45" s="123">
        <v>20000</v>
      </c>
      <c r="E45" s="123">
        <v>20000</v>
      </c>
      <c r="F45" s="123">
        <v>20000</v>
      </c>
      <c r="G45" s="123">
        <v>20000</v>
      </c>
    </row>
    <row r="46" spans="1:7" ht="15" customHeight="1">
      <c r="A46" s="121" t="s">
        <v>384</v>
      </c>
    </row>
    <row r="47" spans="1:7" ht="15" customHeight="1">
      <c r="A47" t="s">
        <v>385</v>
      </c>
      <c r="C47" s="128">
        <f>50000+C24*0.26</f>
        <v>646700</v>
      </c>
      <c r="D47" s="128">
        <f>50000+D24*0.26+300000</f>
        <v>1901420</v>
      </c>
      <c r="E47" s="128">
        <f>50000+E24*0.26</f>
        <v>2794820</v>
      </c>
      <c r="F47" s="128">
        <f>50000+F24*0.26</f>
        <v>4783820</v>
      </c>
      <c r="G47" s="128">
        <f>50000+G24*0.26</f>
        <v>9477860</v>
      </c>
    </row>
    <row r="48" spans="1:7" ht="15" customHeight="1">
      <c r="A48" t="s">
        <v>386</v>
      </c>
      <c r="C48" s="127">
        <v>0</v>
      </c>
      <c r="D48" s="127">
        <v>400000</v>
      </c>
      <c r="E48" s="127">
        <v>1600000</v>
      </c>
      <c r="F48" s="127">
        <v>3200000</v>
      </c>
      <c r="G48" s="127">
        <v>4800000</v>
      </c>
    </row>
    <row r="49" spans="1:7" ht="15" customHeight="1">
      <c r="A49" t="s">
        <v>387</v>
      </c>
      <c r="C49" s="127">
        <v>300000</v>
      </c>
      <c r="D49" s="127">
        <v>600000</v>
      </c>
      <c r="E49" s="127">
        <v>900000</v>
      </c>
      <c r="F49" s="127">
        <v>1400000</v>
      </c>
      <c r="G49" s="127">
        <v>2000000</v>
      </c>
    </row>
    <row r="50" spans="1:7" ht="15" customHeight="1">
      <c r="A50" t="s">
        <v>388</v>
      </c>
      <c r="C50" s="124">
        <f>SUM(C42:C45,C47:C49)</f>
        <v>1866700</v>
      </c>
      <c r="D50" s="124">
        <f>SUM(D42:D45,D47:D49)</f>
        <v>4421420</v>
      </c>
      <c r="E50" s="124">
        <f>SUM(E42:E45,E47:E49)</f>
        <v>7564820</v>
      </c>
      <c r="F50" s="124">
        <f>SUM(F42:F45,F47:F49)</f>
        <v>11553820</v>
      </c>
      <c r="G50" s="124">
        <f>SUM(G42:G45,G47:G49)</f>
        <v>18647860</v>
      </c>
    </row>
    <row r="51" spans="1:7" ht="15" customHeight="1"/>
    <row r="52" spans="1:7" ht="15" customHeight="1">
      <c r="A52" s="144" t="s">
        <v>389</v>
      </c>
      <c r="B52" s="144"/>
      <c r="C52" s="124">
        <f>C38-C50</f>
        <v>-522325</v>
      </c>
      <c r="D52" s="124">
        <f>D38-D50</f>
        <v>-334035</v>
      </c>
      <c r="E52" s="124">
        <f>E38-E50</f>
        <v>1612255</v>
      </c>
      <c r="F52" s="124">
        <f>F38-F50</f>
        <v>9445865</v>
      </c>
      <c r="G52" s="124">
        <f>G38-G50</f>
        <v>23505095</v>
      </c>
    </row>
    <row r="53" spans="1:7" ht="15" customHeight="1">
      <c r="A53" t="s">
        <v>390</v>
      </c>
      <c r="C53" s="126">
        <f>IF(C31&gt;0,C52/C31,0)</f>
        <v>-0.36414814814814817</v>
      </c>
      <c r="D53" s="126">
        <f>IF(D31&gt;0,D52/D31,0)</f>
        <v>-7.7084080920573644E-2</v>
      </c>
      <c r="E53" s="126">
        <f>IF(E31&gt;0,E52/E31,0)</f>
        <v>0.16674759678906506</v>
      </c>
      <c r="F53" s="126">
        <f>IF(F31&gt;0,F52/F31,0)</f>
        <v>0.42939487687223682</v>
      </c>
      <c r="G53" s="126">
        <f>IF(G31&gt;0,G52/G31,0)</f>
        <v>0.53238021691716519</v>
      </c>
    </row>
    <row r="54" spans="1:7" ht="15" customHeight="1"/>
    <row r="55" spans="1:7" ht="15" customHeight="1">
      <c r="A55" s="71" t="s">
        <v>391</v>
      </c>
    </row>
    <row r="56" spans="1:7" ht="15" customHeight="1">
      <c r="A56" t="s">
        <v>392</v>
      </c>
      <c r="C56" s="130">
        <v>-150000</v>
      </c>
      <c r="D56" s="130">
        <v>-250000</v>
      </c>
      <c r="E56" s="130">
        <v>-400000</v>
      </c>
      <c r="F56" s="130">
        <v>-600000</v>
      </c>
      <c r="G56" s="130">
        <v>-800000</v>
      </c>
    </row>
    <row r="57" spans="1:7" ht="15" customHeight="1">
      <c r="A57" t="s">
        <v>393</v>
      </c>
      <c r="C57" s="123">
        <f>C52+C56</f>
        <v>-672325</v>
      </c>
      <c r="D57" s="123">
        <f>D52+D56</f>
        <v>-584035</v>
      </c>
      <c r="E57" s="123">
        <f>E52+E56</f>
        <v>1212255</v>
      </c>
      <c r="F57" s="123">
        <f>F52+F56</f>
        <v>8845865</v>
      </c>
      <c r="G57" s="123">
        <f>G52+G56</f>
        <v>22705095</v>
      </c>
    </row>
    <row r="58" spans="1:7" ht="15" customHeight="1"/>
    <row r="59" spans="1:7" ht="15" customHeight="1">
      <c r="A59" t="s">
        <v>394</v>
      </c>
      <c r="C59" s="128">
        <v>365000</v>
      </c>
      <c r="D59" s="127">
        <v>5000000</v>
      </c>
      <c r="E59" s="127">
        <v>0</v>
      </c>
      <c r="F59" s="127">
        <v>0</v>
      </c>
      <c r="G59" s="127">
        <v>0</v>
      </c>
    </row>
    <row r="60" spans="1:7" ht="15" customHeight="1">
      <c r="A60" t="s">
        <v>395</v>
      </c>
      <c r="C60" s="123">
        <f>C57+C59</f>
        <v>-307325</v>
      </c>
      <c r="D60" s="123">
        <f>D57+C60+D59</f>
        <v>4108640</v>
      </c>
      <c r="E60" s="123">
        <f>E57+D60+E59</f>
        <v>5320895</v>
      </c>
      <c r="F60" s="123">
        <f>F57+E60+F59</f>
        <v>14166760</v>
      </c>
      <c r="G60" s="123">
        <f>G57+F60+G59</f>
        <v>36871855</v>
      </c>
    </row>
    <row r="61" spans="1:7" ht="15" customHeight="1">
      <c r="C61" s="130"/>
      <c r="D61" s="130"/>
      <c r="E61" s="130"/>
      <c r="F61" s="130"/>
      <c r="G61" s="130"/>
    </row>
    <row r="62" spans="1:7" ht="15" customHeight="1">
      <c r="A62" s="144"/>
      <c r="B62" s="144"/>
    </row>
    <row r="63" spans="1:7" ht="15" customHeight="1">
      <c r="C63" s="130"/>
      <c r="D63" s="130"/>
      <c r="E63" s="130"/>
      <c r="F63" s="130"/>
      <c r="G63" s="130"/>
    </row>
    <row r="64" spans="1:7" ht="15" customHeight="1"/>
    <row r="65" spans="1:7" ht="15" customHeight="1">
      <c r="A65" s="131" t="s">
        <v>396</v>
      </c>
    </row>
    <row r="66" spans="1:7" ht="15" customHeight="1">
      <c r="A66" t="s">
        <v>230</v>
      </c>
      <c r="B66" s="126">
        <f>IFERROR(((G31/C31)^(1/4))-1,0)</f>
        <v>1.3554253711228723</v>
      </c>
    </row>
    <row r="67" spans="1:7" ht="15" customHeight="1">
      <c r="A67" t="s">
        <v>232</v>
      </c>
      <c r="B67" s="126">
        <f>((G12/C12)^(1/4))-1</f>
        <v>1.1706422081393097</v>
      </c>
    </row>
    <row r="68" spans="1:7" ht="15" customHeight="1"/>
    <row r="69" spans="1:7" ht="15" customHeight="1">
      <c r="A69" t="s">
        <v>397</v>
      </c>
      <c r="B69" s="124">
        <f>NPV(0.3,C57:F57,G57+G31*8)-(C59+D59)</f>
        <v>98665433.679735377</v>
      </c>
    </row>
    <row r="70" spans="1:7" ht="15" customHeight="1">
      <c r="A70" t="s">
        <v>398</v>
      </c>
      <c r="B70" s="123">
        <f>NPV(0.35,C57:F57,G57+G31*8)-(C59+D59)</f>
        <v>80806059.17485559</v>
      </c>
    </row>
    <row r="71" spans="1:7" ht="15" customHeight="1">
      <c r="A71" t="s">
        <v>399</v>
      </c>
      <c r="B71" s="123">
        <f>NPV(0.4,C57:F57,G57+G31*8)-(C59+D59)</f>
        <v>66496346.842089638</v>
      </c>
    </row>
    <row r="72" spans="1:7" ht="15" customHeight="1">
      <c r="B72" s="130"/>
    </row>
    <row r="73" spans="1:7" ht="15" customHeight="1">
      <c r="A73" t="s">
        <v>400</v>
      </c>
      <c r="B73" s="132">
        <f>IFERROR(IRR(B75:G75),"Calculating...")</f>
        <v>1.3390510952659711</v>
      </c>
    </row>
    <row r="74" spans="1:7" ht="15" customHeight="1">
      <c r="A74" s="133" t="s">
        <v>401</v>
      </c>
      <c r="B74" s="130"/>
      <c r="C74" s="130"/>
      <c r="D74" s="130"/>
      <c r="E74" s="130"/>
      <c r="F74" s="130"/>
      <c r="G74" s="130"/>
    </row>
    <row r="75" spans="1:7" ht="15" customHeight="1">
      <c r="B75" s="134">
        <f>-(C59+D59)</f>
        <v>-5365000</v>
      </c>
      <c r="C75" s="130">
        <f>C57</f>
        <v>-672325</v>
      </c>
      <c r="D75" s="130">
        <f>D57</f>
        <v>-584035</v>
      </c>
      <c r="E75" s="130">
        <f>E57</f>
        <v>1212255</v>
      </c>
      <c r="F75" s="130">
        <f>F57</f>
        <v>8845865</v>
      </c>
      <c r="G75" s="130">
        <f>G57+G31*8</f>
        <v>375912735</v>
      </c>
    </row>
    <row r="76" spans="1:7" ht="15" customHeight="1">
      <c r="A76" t="s">
        <v>402</v>
      </c>
      <c r="B76" s="135">
        <f>IFERROR((G60+G31*8-(C59+D59))/(C59+D59),0)</f>
        <v>71.708200372786578</v>
      </c>
    </row>
    <row r="77" spans="1:7" ht="15" customHeight="1">
      <c r="B77" s="122"/>
    </row>
    <row r="78" spans="1:7" ht="15" customHeight="1">
      <c r="A78" t="s">
        <v>403</v>
      </c>
      <c r="B78" s="124">
        <f>C59+D59</f>
        <v>5365000</v>
      </c>
    </row>
    <row r="79" spans="1:7" ht="15" customHeight="1">
      <c r="A79" t="s">
        <v>404</v>
      </c>
      <c r="B79" s="136">
        <f>IFERROR(IF(C60&gt;0,1,IF(D60&gt;0,2,IF(E60&gt;0,3,IF(F60&gt;0,4,IF(G60&gt;0,5,"No payback"))))),"N/A")</f>
        <v>2</v>
      </c>
    </row>
    <row r="80" spans="1:7" ht="15" customHeight="1"/>
    <row r="81" spans="1:2" ht="15" customHeight="1">
      <c r="A81" t="s">
        <v>405</v>
      </c>
      <c r="B81" s="123">
        <f>G31*5</f>
        <v>220754775</v>
      </c>
    </row>
    <row r="82" spans="1:2" ht="15" customHeight="1">
      <c r="A82" t="s">
        <v>406</v>
      </c>
      <c r="B82" s="123">
        <f>G31*8</f>
        <v>353207640</v>
      </c>
    </row>
    <row r="83" spans="1:2" ht="15" customHeight="1">
      <c r="A83" t="s">
        <v>407</v>
      </c>
      <c r="B83" s="123">
        <f>G31*10</f>
        <v>441509550</v>
      </c>
    </row>
    <row r="84" spans="1:2" ht="15" customHeight="1"/>
    <row r="85" spans="1:2" ht="15" customHeight="1">
      <c r="A85" t="s">
        <v>408</v>
      </c>
      <c r="B85" s="135">
        <f>IFERROR(B82/B78,0)</f>
        <v>65.835534016775398</v>
      </c>
    </row>
    <row r="86" spans="1:2" ht="15" customHeight="1">
      <c r="B86" s="137"/>
    </row>
  </sheetData>
  <mergeCells count="10">
    <mergeCell ref="A1:G1"/>
    <mergeCell ref="A5:B5"/>
    <mergeCell ref="A9:B9"/>
    <mergeCell ref="A15:B15"/>
    <mergeCell ref="A19:G19"/>
    <mergeCell ref="A22:B22"/>
    <mergeCell ref="A32:B32"/>
    <mergeCell ref="A40:B40"/>
    <mergeCell ref="A52:B52"/>
    <mergeCell ref="A62:B6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6"/>
  <sheetViews>
    <sheetView topLeftCell="A125" zoomScale="170" zoomScaleNormal="170" workbookViewId="0">
      <selection activeCell="B63" sqref="B63"/>
    </sheetView>
  </sheetViews>
  <sheetFormatPr baseColWidth="10" defaultColWidth="8.6640625" defaultRowHeight="15"/>
  <cols>
    <col min="1" max="1" width="40" customWidth="1"/>
    <col min="2" max="2" width="17.6640625" customWidth="1"/>
    <col min="3" max="7" width="16" customWidth="1"/>
  </cols>
  <sheetData>
    <row r="1" spans="1:7" ht="17.25" customHeight="1">
      <c r="A1" s="145" t="s">
        <v>411</v>
      </c>
      <c r="B1" s="145"/>
      <c r="C1" s="145"/>
      <c r="D1" s="145"/>
      <c r="E1" s="145"/>
      <c r="F1" s="145"/>
      <c r="G1" s="145"/>
    </row>
    <row r="3" spans="1:7" ht="15" customHeight="1">
      <c r="C3" s="111" t="s">
        <v>186</v>
      </c>
      <c r="D3" s="111" t="s">
        <v>188</v>
      </c>
      <c r="E3" s="111" t="s">
        <v>190</v>
      </c>
      <c r="F3" s="111" t="s">
        <v>192</v>
      </c>
      <c r="G3" s="111" t="s">
        <v>194</v>
      </c>
    </row>
    <row r="5" spans="1:7" ht="15" customHeight="1">
      <c r="A5" s="146" t="s">
        <v>350</v>
      </c>
      <c r="B5" s="146"/>
    </row>
    <row r="6" spans="1:7" ht="15" customHeight="1">
      <c r="A6" t="s">
        <v>351</v>
      </c>
      <c r="B6" s="112">
        <v>1500000000</v>
      </c>
    </row>
    <row r="7" spans="1:7" ht="15" customHeight="1">
      <c r="A7" t="s">
        <v>352</v>
      </c>
      <c r="B7" s="112">
        <f>B6*0.8</f>
        <v>1200000000</v>
      </c>
    </row>
    <row r="9" spans="1:7" ht="15" customHeight="1">
      <c r="A9" s="146" t="s">
        <v>353</v>
      </c>
      <c r="B9" s="146"/>
    </row>
    <row r="10" spans="1:7" ht="15" customHeight="1">
      <c r="A10" t="s">
        <v>354</v>
      </c>
      <c r="C10" s="113">
        <v>75000</v>
      </c>
      <c r="D10" s="113">
        <v>195000</v>
      </c>
      <c r="E10" s="113">
        <v>345000</v>
      </c>
      <c r="F10" s="113">
        <v>595000</v>
      </c>
      <c r="G10" s="113">
        <v>1185000</v>
      </c>
    </row>
    <row r="11" spans="1:7" ht="15" customHeight="1">
      <c r="A11" t="s">
        <v>355</v>
      </c>
      <c r="C11" s="113">
        <v>0</v>
      </c>
      <c r="D11" s="113">
        <v>17500</v>
      </c>
      <c r="E11" s="113">
        <v>113400</v>
      </c>
      <c r="F11" s="113">
        <v>414750</v>
      </c>
      <c r="G11" s="113">
        <v>840000</v>
      </c>
    </row>
    <row r="12" spans="1:7" ht="15" customHeight="1">
      <c r="A12" t="s">
        <v>356</v>
      </c>
      <c r="C12" s="116">
        <f>C10+C11</f>
        <v>75000</v>
      </c>
      <c r="D12" s="116">
        <f>D10+D11</f>
        <v>212500</v>
      </c>
      <c r="E12" s="116">
        <f>E10+E11</f>
        <v>458400</v>
      </c>
      <c r="F12" s="116">
        <f>F10+F11</f>
        <v>1009750</v>
      </c>
      <c r="G12" s="116">
        <f>G10+G11</f>
        <v>2025000</v>
      </c>
    </row>
    <row r="13" spans="1:7" ht="15" customHeight="1">
      <c r="A13" t="s">
        <v>357</v>
      </c>
      <c r="C13" s="117">
        <f>C12/$B$7</f>
        <v>6.2500000000000001E-5</v>
      </c>
      <c r="D13" s="117">
        <f>D12/$B$7</f>
        <v>1.7708333333333335E-4</v>
      </c>
      <c r="E13" s="117">
        <f>E12/$B$7</f>
        <v>3.8200000000000002E-4</v>
      </c>
      <c r="F13" s="117">
        <f>F12/$B$7</f>
        <v>8.4145833333333338E-4</v>
      </c>
      <c r="G13" s="117">
        <f>G12/$B$7</f>
        <v>1.6875E-3</v>
      </c>
    </row>
    <row r="15" spans="1:7" ht="15" customHeight="1">
      <c r="A15" s="146" t="s">
        <v>358</v>
      </c>
      <c r="B15" s="146"/>
    </row>
    <row r="16" spans="1:7" ht="15" customHeight="1">
      <c r="A16" t="s">
        <v>359</v>
      </c>
      <c r="B16" s="118">
        <v>30.6</v>
      </c>
    </row>
    <row r="17" spans="1:7" ht="15" customHeight="1">
      <c r="A17" t="s">
        <v>360</v>
      </c>
      <c r="B17" s="119">
        <f>B16*0.9</f>
        <v>27.540000000000003</v>
      </c>
    </row>
    <row r="18" spans="1:7" ht="15" customHeight="1">
      <c r="A18" t="s">
        <v>361</v>
      </c>
      <c r="B18" s="120">
        <v>50</v>
      </c>
    </row>
    <row r="19" spans="1:7" ht="19.5" customHeight="1">
      <c r="A19" s="147" t="s">
        <v>362</v>
      </c>
      <c r="B19" s="147"/>
      <c r="C19" s="147"/>
      <c r="D19" s="147"/>
      <c r="E19" s="147"/>
      <c r="F19" s="147"/>
      <c r="G19" s="147"/>
    </row>
    <row r="20" spans="1:7" ht="15" customHeight="1">
      <c r="A20" t="s">
        <v>363</v>
      </c>
      <c r="B20" s="122">
        <v>0.3</v>
      </c>
    </row>
    <row r="21" spans="1:7" ht="15" customHeight="1">
      <c r="A21" t="s">
        <v>364</v>
      </c>
      <c r="B21" s="122">
        <v>7.4999999999999997E-2</v>
      </c>
    </row>
    <row r="22" spans="1:7" ht="15" customHeight="1">
      <c r="A22" s="144"/>
      <c r="B22" s="144"/>
    </row>
    <row r="23" spans="1:7" ht="15" customHeight="1">
      <c r="A23" s="71" t="s">
        <v>365</v>
      </c>
    </row>
    <row r="24" spans="1:7" ht="15" customHeight="1">
      <c r="A24" t="s">
        <v>366</v>
      </c>
      <c r="C24" s="123">
        <f>C10*$B$16</f>
        <v>2295000</v>
      </c>
      <c r="D24" s="123">
        <f>D10*$B$16</f>
        <v>5967000</v>
      </c>
      <c r="E24" s="123">
        <f>E10*$B$16</f>
        <v>10557000</v>
      </c>
      <c r="F24" s="123">
        <f>F10*$B$16</f>
        <v>18207000</v>
      </c>
      <c r="G24" s="123">
        <f>G10*$B$16</f>
        <v>36261000</v>
      </c>
    </row>
    <row r="25" spans="1:7" ht="15" customHeight="1">
      <c r="A25" t="s">
        <v>367</v>
      </c>
      <c r="C25" s="123">
        <f>C11*$B$18</f>
        <v>0</v>
      </c>
      <c r="D25" s="123">
        <f>D11*$B$18</f>
        <v>875000</v>
      </c>
      <c r="E25" s="123">
        <f>E11*$B$18</f>
        <v>5670000</v>
      </c>
      <c r="F25" s="123">
        <f>F11*$B$18</f>
        <v>20737500</v>
      </c>
      <c r="G25" s="123">
        <f>G11*$B$18</f>
        <v>42000000</v>
      </c>
    </row>
    <row r="26" spans="1:7" ht="15" customHeight="1">
      <c r="A26" t="s">
        <v>368</v>
      </c>
      <c r="C26" s="124">
        <f>C24+C25</f>
        <v>2295000</v>
      </c>
      <c r="D26" s="124">
        <f>D24+D25</f>
        <v>6842000</v>
      </c>
      <c r="E26" s="124">
        <f>E24+E25</f>
        <v>16227000</v>
      </c>
      <c r="F26" s="124">
        <f>F24+F25</f>
        <v>38944500</v>
      </c>
      <c r="G26" s="124">
        <f>G24+G25</f>
        <v>78261000</v>
      </c>
    </row>
    <row r="27" spans="1:7" ht="15" customHeight="1"/>
    <row r="28" spans="1:7" ht="15" customHeight="1">
      <c r="A28" t="s">
        <v>369</v>
      </c>
      <c r="C28" s="123">
        <f>-C24*0.3</f>
        <v>-688500</v>
      </c>
      <c r="D28" s="123">
        <f>-D24*0.27</f>
        <v>-1611090</v>
      </c>
      <c r="E28" s="123">
        <f>-E24*0.27</f>
        <v>-2850390</v>
      </c>
      <c r="F28" s="123">
        <f>-F24*0.27</f>
        <v>-4915890</v>
      </c>
      <c r="G28" s="123">
        <f>-G24*0.27</f>
        <v>-9790470</v>
      </c>
    </row>
    <row r="29" spans="1:7" ht="15" customHeight="1">
      <c r="A29" t="s">
        <v>370</v>
      </c>
      <c r="C29" s="123">
        <f>-C24*$B$21</f>
        <v>-172125</v>
      </c>
      <c r="D29" s="123">
        <f>-D24*$B$21</f>
        <v>-447525</v>
      </c>
      <c r="E29" s="123">
        <f>-E24*$B$21</f>
        <v>-791775</v>
      </c>
      <c r="F29" s="123">
        <f>-F24*$B$21</f>
        <v>-1365525</v>
      </c>
      <c r="G29" s="123">
        <f>-G24*$B$21</f>
        <v>-2719575</v>
      </c>
    </row>
    <row r="30" spans="1:7" ht="15" customHeight="1">
      <c r="A30" t="s">
        <v>371</v>
      </c>
      <c r="C30" s="123">
        <f>-C25*0.15</f>
        <v>0</v>
      </c>
      <c r="D30" s="123">
        <f>-D25*0.15</f>
        <v>-131250</v>
      </c>
      <c r="E30" s="123">
        <f>-E25*0.15</f>
        <v>-850500</v>
      </c>
      <c r="F30" s="123">
        <f>-F25*0.15</f>
        <v>-3110625</v>
      </c>
      <c r="G30" s="123">
        <f>-G25*0.15</f>
        <v>-6300000</v>
      </c>
    </row>
    <row r="31" spans="1:7" ht="15" customHeight="1">
      <c r="A31" t="s">
        <v>372</v>
      </c>
      <c r="C31" s="125">
        <f>C26+C28+C29+C30</f>
        <v>1434375</v>
      </c>
      <c r="D31" s="125">
        <f>D26+D28+D29+D30</f>
        <v>4652135</v>
      </c>
      <c r="E31" s="125">
        <f>E26+E28+E29+E30</f>
        <v>11734335</v>
      </c>
      <c r="F31" s="125">
        <f>F26+F28+F29+F30</f>
        <v>29552460</v>
      </c>
      <c r="G31" s="125">
        <f>G26+G28+G29+G30</f>
        <v>59450955</v>
      </c>
    </row>
    <row r="32" spans="1:7" ht="15" customHeight="1">
      <c r="A32" s="144"/>
      <c r="B32" s="144"/>
    </row>
    <row r="33" spans="1:7" ht="15" customHeight="1">
      <c r="A33" s="71" t="s">
        <v>373</v>
      </c>
    </row>
    <row r="34" spans="1:7" ht="15" customHeight="1">
      <c r="A34" t="s">
        <v>374</v>
      </c>
      <c r="B34" s="119">
        <v>0.5</v>
      </c>
      <c r="C34" s="123">
        <f>C12*0.5</f>
        <v>37500</v>
      </c>
      <c r="D34" s="123">
        <f>D12*0.5</f>
        <v>106250</v>
      </c>
      <c r="E34" s="123">
        <f>E12*0.5</f>
        <v>229200</v>
      </c>
      <c r="F34" s="123">
        <f>F12*0.5</f>
        <v>504875</v>
      </c>
      <c r="G34" s="123">
        <f>G12*0.5</f>
        <v>1012500</v>
      </c>
    </row>
    <row r="35" spans="1:7" ht="15" customHeight="1">
      <c r="A35" t="s">
        <v>375</v>
      </c>
      <c r="B35" s="119">
        <v>0.4</v>
      </c>
      <c r="C35" s="123">
        <f>C12*0.4</f>
        <v>30000</v>
      </c>
      <c r="D35" s="123">
        <f>D12*0.4</f>
        <v>85000</v>
      </c>
      <c r="E35" s="123">
        <f>E12*0.4</f>
        <v>183360</v>
      </c>
      <c r="F35" s="123">
        <f>F12*0.4</f>
        <v>403900</v>
      </c>
      <c r="G35" s="123">
        <f>G12*0.4</f>
        <v>810000</v>
      </c>
    </row>
    <row r="36" spans="1:7" ht="15" customHeight="1">
      <c r="A36" t="s">
        <v>376</v>
      </c>
      <c r="B36" s="119">
        <v>0.3</v>
      </c>
      <c r="C36" s="123">
        <f>C12*0.3</f>
        <v>22500</v>
      </c>
      <c r="D36" s="123">
        <f>D12*0.3</f>
        <v>63750</v>
      </c>
      <c r="E36" s="123">
        <f>E12*0.3</f>
        <v>137520</v>
      </c>
      <c r="F36" s="123">
        <f>F12*0.3</f>
        <v>302925</v>
      </c>
      <c r="G36" s="123">
        <f>G12*0.3</f>
        <v>607500</v>
      </c>
    </row>
    <row r="37" spans="1:7" ht="15" customHeight="1">
      <c r="A37" t="s">
        <v>377</v>
      </c>
      <c r="C37" s="124">
        <f>SUM(C34:C36)</f>
        <v>90000</v>
      </c>
      <c r="D37" s="124">
        <f>SUM(D34:D36)</f>
        <v>255000</v>
      </c>
      <c r="E37" s="124">
        <f>SUM(E34:E36)</f>
        <v>550080</v>
      </c>
      <c r="F37" s="124">
        <f>SUM(F34:F36)</f>
        <v>1211700</v>
      </c>
      <c r="G37" s="124">
        <f>SUM(G34:G36)</f>
        <v>2430000</v>
      </c>
    </row>
    <row r="38" spans="1:7" ht="15" customHeight="1">
      <c r="A38" t="s">
        <v>378</v>
      </c>
      <c r="C38" s="124">
        <f>C31-C37</f>
        <v>1344375</v>
      </c>
      <c r="D38" s="124">
        <f>D31-D37</f>
        <v>4397135</v>
      </c>
      <c r="E38" s="124">
        <f>E31-E37</f>
        <v>11184255</v>
      </c>
      <c r="F38" s="124">
        <f>F31-F37</f>
        <v>28340760</v>
      </c>
      <c r="G38" s="124">
        <f>G31-G37</f>
        <v>57020955</v>
      </c>
    </row>
    <row r="39" spans="1:7" ht="15" customHeight="1">
      <c r="A39" t="s">
        <v>379</v>
      </c>
      <c r="C39" s="126">
        <f>IF(C31&gt;0,(C31-C37)/C31,0)</f>
        <v>0.93725490196078431</v>
      </c>
      <c r="D39" s="126">
        <f>IF(D31&gt;0,(D31-D37)/D31,0)</f>
        <v>0.94518645740074181</v>
      </c>
      <c r="E39" s="126">
        <f>IF(E31&gt;0,(E31-E37)/E31,0)</f>
        <v>0.95312218374539337</v>
      </c>
      <c r="F39" s="126">
        <f>IF(F31&gt;0,(F31-F37)/F31,0)</f>
        <v>0.95899833719426408</v>
      </c>
      <c r="G39" s="126">
        <f>IF(G31&gt;0,(G31-G37)/G31,0)</f>
        <v>0.95912597198817073</v>
      </c>
    </row>
    <row r="40" spans="1:7" ht="15" customHeight="1">
      <c r="A40" s="144"/>
      <c r="B40" s="144"/>
    </row>
    <row r="41" spans="1:7" ht="15" customHeight="1">
      <c r="A41" s="71" t="s">
        <v>380</v>
      </c>
    </row>
    <row r="42" spans="1:7" ht="15" customHeight="1">
      <c r="A42" t="s">
        <v>381</v>
      </c>
      <c r="C42" s="127">
        <v>400000</v>
      </c>
      <c r="D42" s="127">
        <v>800000</v>
      </c>
      <c r="E42" s="127">
        <v>1200000</v>
      </c>
      <c r="F42" s="127">
        <v>1600000</v>
      </c>
      <c r="G42" s="127">
        <v>2000000</v>
      </c>
    </row>
    <row r="43" spans="1:7" ht="15" customHeight="1">
      <c r="A43" t="s">
        <v>382</v>
      </c>
      <c r="C43" s="127">
        <v>350000</v>
      </c>
      <c r="D43" s="128">
        <v>200000</v>
      </c>
      <c r="E43" s="128">
        <v>50000</v>
      </c>
      <c r="F43" s="128">
        <v>50000</v>
      </c>
      <c r="G43" s="128">
        <v>50000</v>
      </c>
    </row>
    <row r="44" spans="1:7" ht="15" customHeight="1">
      <c r="A44" t="s">
        <v>410</v>
      </c>
      <c r="C44" s="127">
        <v>0</v>
      </c>
      <c r="D44" s="127">
        <v>500000</v>
      </c>
      <c r="E44" s="127">
        <v>1000000</v>
      </c>
      <c r="F44" s="127">
        <v>500000</v>
      </c>
      <c r="G44" s="127">
        <v>300000</v>
      </c>
    </row>
    <row r="45" spans="1:7" ht="19.5" customHeight="1">
      <c r="A45" s="129" t="s">
        <v>383</v>
      </c>
      <c r="C45" s="123">
        <v>80000</v>
      </c>
      <c r="D45" s="123">
        <v>20000</v>
      </c>
      <c r="E45" s="123">
        <v>20000</v>
      </c>
      <c r="F45" s="123">
        <v>20000</v>
      </c>
      <c r="G45" s="123">
        <v>20000</v>
      </c>
    </row>
    <row r="46" spans="1:7" ht="15" customHeight="1">
      <c r="A46" s="121" t="s">
        <v>384</v>
      </c>
    </row>
    <row r="47" spans="1:7" ht="15" customHeight="1">
      <c r="A47" t="s">
        <v>385</v>
      </c>
      <c r="C47" s="128">
        <f>50000+C24*0.26</f>
        <v>646700</v>
      </c>
      <c r="D47" s="128">
        <f>50000+D24*0.26+300000</f>
        <v>1901420</v>
      </c>
      <c r="E47" s="128">
        <f>50000+E24*0.26</f>
        <v>2794820</v>
      </c>
      <c r="F47" s="128">
        <f>50000+F24*0.26</f>
        <v>4783820</v>
      </c>
      <c r="G47" s="128">
        <f>50000+G24*0.26</f>
        <v>9477860</v>
      </c>
    </row>
    <row r="48" spans="1:7" ht="15" customHeight="1">
      <c r="A48" t="s">
        <v>386</v>
      </c>
      <c r="C48" s="127">
        <v>0</v>
      </c>
      <c r="D48" s="127">
        <v>700000</v>
      </c>
      <c r="E48" s="127">
        <v>2800000</v>
      </c>
      <c r="F48" s="127">
        <v>5600000</v>
      </c>
      <c r="G48" s="127">
        <v>8400000</v>
      </c>
    </row>
    <row r="49" spans="1:7" ht="15" customHeight="1">
      <c r="A49" t="s">
        <v>387</v>
      </c>
      <c r="C49" s="127">
        <v>300000</v>
      </c>
      <c r="D49" s="127">
        <v>600000</v>
      </c>
      <c r="E49" s="127">
        <v>900000</v>
      </c>
      <c r="F49" s="127">
        <v>1400000</v>
      </c>
      <c r="G49" s="127">
        <v>2000000</v>
      </c>
    </row>
    <row r="50" spans="1:7" ht="15" customHeight="1">
      <c r="A50" t="s">
        <v>388</v>
      </c>
      <c r="C50" s="124">
        <f>SUM(C42:C45,C47:C49)</f>
        <v>1776700</v>
      </c>
      <c r="D50" s="124">
        <f>SUM(D42:D45,D47:D49)</f>
        <v>4721420</v>
      </c>
      <c r="E50" s="124">
        <f>SUM(E42:E45,E47:E49)</f>
        <v>8764820</v>
      </c>
      <c r="F50" s="124">
        <f>SUM(F42:F45,F47:F49)</f>
        <v>13953820</v>
      </c>
      <c r="G50" s="124">
        <f>SUM(G42:G45,G47:G49)</f>
        <v>22247860</v>
      </c>
    </row>
    <row r="51" spans="1:7" ht="15" customHeight="1"/>
    <row r="52" spans="1:7" ht="15" customHeight="1">
      <c r="A52" s="144" t="s">
        <v>389</v>
      </c>
      <c r="B52" s="144"/>
      <c r="C52" s="124">
        <f>C38-C50</f>
        <v>-432325</v>
      </c>
      <c r="D52" s="124">
        <f>D38-D50</f>
        <v>-324285</v>
      </c>
      <c r="E52" s="124">
        <f>E38-E50</f>
        <v>2419435</v>
      </c>
      <c r="F52" s="124">
        <f>F38-F50</f>
        <v>14386940</v>
      </c>
      <c r="G52" s="124">
        <f>G38-G50</f>
        <v>34773095</v>
      </c>
    </row>
    <row r="53" spans="1:7" ht="15" customHeight="1">
      <c r="A53" t="s">
        <v>390</v>
      </c>
      <c r="C53" s="126">
        <f>IF(C31&gt;0,C52/C31,0)</f>
        <v>-0.30140305010893248</v>
      </c>
      <c r="D53" s="126">
        <f>IF(D31&gt;0,D52/D31,0)</f>
        <v>-6.9706704556080162E-2</v>
      </c>
      <c r="E53" s="126">
        <f>IF(E31&gt;0,E52/E31,0)</f>
        <v>0.20618424478251218</v>
      </c>
      <c r="F53" s="126">
        <f>IF(F31&gt;0,F52/F31,0)</f>
        <v>0.48682715415231081</v>
      </c>
      <c r="G53" s="126">
        <f>IF(G31&gt;0,G52/G31,0)</f>
        <v>0.58490389262880638</v>
      </c>
    </row>
    <row r="54" spans="1:7" ht="15" customHeight="1"/>
    <row r="55" spans="1:7" ht="15" customHeight="1">
      <c r="A55" s="71" t="s">
        <v>391</v>
      </c>
    </row>
    <row r="56" spans="1:7" ht="15" customHeight="1">
      <c r="A56" t="s">
        <v>392</v>
      </c>
      <c r="C56" s="130">
        <v>-150000</v>
      </c>
      <c r="D56" s="130">
        <v>-250000</v>
      </c>
      <c r="E56" s="130">
        <v>-400000</v>
      </c>
      <c r="F56" s="130">
        <v>-600000</v>
      </c>
      <c r="G56" s="130">
        <v>-800000</v>
      </c>
    </row>
    <row r="57" spans="1:7" ht="15" customHeight="1">
      <c r="A57" t="s">
        <v>393</v>
      </c>
      <c r="C57" s="123">
        <f>C52+C56</f>
        <v>-582325</v>
      </c>
      <c r="D57" s="123">
        <f>D52+D56</f>
        <v>-574285</v>
      </c>
      <c r="E57" s="123">
        <f>E52+E56</f>
        <v>2019435</v>
      </c>
      <c r="F57" s="123">
        <f>F52+F56</f>
        <v>13786940</v>
      </c>
      <c r="G57" s="123">
        <f>G52+G56</f>
        <v>33973095</v>
      </c>
    </row>
    <row r="58" spans="1:7" ht="15" customHeight="1"/>
    <row r="59" spans="1:7" ht="15" customHeight="1">
      <c r="A59" t="s">
        <v>394</v>
      </c>
      <c r="C59" s="128">
        <v>365000</v>
      </c>
      <c r="D59" s="127">
        <v>5000000</v>
      </c>
      <c r="E59" s="127">
        <v>0</v>
      </c>
      <c r="F59" s="127">
        <v>0</v>
      </c>
      <c r="G59" s="127">
        <v>0</v>
      </c>
    </row>
    <row r="60" spans="1:7" ht="15" customHeight="1">
      <c r="A60" t="s">
        <v>395</v>
      </c>
      <c r="C60" s="123">
        <f>C57+C59</f>
        <v>-217325</v>
      </c>
      <c r="D60" s="123">
        <f>D57+C60+D59</f>
        <v>4208390</v>
      </c>
      <c r="E60" s="123">
        <f>E57+D60+E59</f>
        <v>6227825</v>
      </c>
      <c r="F60" s="123">
        <f>F57+E60+F59</f>
        <v>20014765</v>
      </c>
      <c r="G60" s="123">
        <f>G57+F60+G59</f>
        <v>53987860</v>
      </c>
    </row>
    <row r="61" spans="1:7" ht="15" customHeight="1">
      <c r="C61" s="130"/>
      <c r="D61" s="130"/>
      <c r="E61" s="130"/>
      <c r="F61" s="130"/>
      <c r="G61" s="130"/>
    </row>
    <row r="62" spans="1:7" ht="15" customHeight="1">
      <c r="A62" s="144"/>
      <c r="B62" s="144"/>
    </row>
    <row r="63" spans="1:7" ht="15" customHeight="1">
      <c r="C63" s="130"/>
      <c r="D63" s="130"/>
      <c r="E63" s="130"/>
      <c r="F63" s="130"/>
      <c r="G63" s="130"/>
    </row>
    <row r="64" spans="1:7" ht="15" customHeight="1"/>
    <row r="65" spans="1:7" ht="15" customHeight="1">
      <c r="A65" s="131" t="s">
        <v>396</v>
      </c>
    </row>
    <row r="66" spans="1:7" ht="15" customHeight="1">
      <c r="A66" t="s">
        <v>230</v>
      </c>
      <c r="B66" s="126">
        <f>IFERROR(((G31/C31)^(1/4))-1,0)</f>
        <v>1.5373129266564765</v>
      </c>
    </row>
    <row r="67" spans="1:7" ht="15" customHeight="1">
      <c r="A67" t="s">
        <v>232</v>
      </c>
      <c r="B67" s="126">
        <f>((G12/C12)^(1/4))-1</f>
        <v>1.2795070569547775</v>
      </c>
    </row>
    <row r="68" spans="1:7" ht="15" customHeight="1"/>
    <row r="69" spans="1:7" ht="15" customHeight="1">
      <c r="A69" t="s">
        <v>397</v>
      </c>
      <c r="B69" s="124">
        <f>NPV(0.3,C57:F57,G57+G31*8)-(C59+D59)</f>
        <v>136838521.09317973</v>
      </c>
    </row>
    <row r="70" spans="1:7" ht="15" customHeight="1">
      <c r="A70" t="s">
        <v>398</v>
      </c>
      <c r="B70" s="123">
        <f>NPV(0.35,C57:F57,G57+G31*8)-(C59+D59)</f>
        <v>112503517.05509691</v>
      </c>
    </row>
    <row r="71" spans="1:7" ht="15" customHeight="1">
      <c r="A71" t="s">
        <v>399</v>
      </c>
      <c r="B71" s="123">
        <f>NPV(0.4,C57:F57,G57+G31*8)-(C59+D59)</f>
        <v>92999454.884869441</v>
      </c>
    </row>
    <row r="72" spans="1:7" ht="15" customHeight="1">
      <c r="B72" s="130"/>
    </row>
    <row r="73" spans="1:7" ht="15" customHeight="1">
      <c r="A73" t="s">
        <v>400</v>
      </c>
      <c r="B73" s="132">
        <f>IFERROR(IRR(B75:G75),"Calculating...")</f>
        <v>1.5009547972575801</v>
      </c>
    </row>
    <row r="74" spans="1:7" ht="15" customHeight="1">
      <c r="A74" s="133" t="s">
        <v>401</v>
      </c>
      <c r="B74" s="130"/>
      <c r="C74" s="130"/>
      <c r="D74" s="130"/>
      <c r="E74" s="130"/>
      <c r="F74" s="130"/>
      <c r="G74" s="130"/>
    </row>
    <row r="75" spans="1:7" ht="15" customHeight="1">
      <c r="B75" s="134">
        <f>-(C59+D59)</f>
        <v>-5365000</v>
      </c>
      <c r="C75" s="130">
        <f>C57</f>
        <v>-582325</v>
      </c>
      <c r="D75" s="130">
        <f>D57</f>
        <v>-574285</v>
      </c>
      <c r="E75" s="130">
        <f>E57</f>
        <v>2019435</v>
      </c>
      <c r="F75" s="130">
        <f>F57</f>
        <v>13786940</v>
      </c>
      <c r="G75" s="130">
        <f>G57+G31*8</f>
        <v>509580735</v>
      </c>
    </row>
    <row r="76" spans="1:7" ht="15" customHeight="1">
      <c r="A76" t="s">
        <v>402</v>
      </c>
      <c r="B76" s="135">
        <f>IFERROR((G60+G31*8-(C59+D59))/(C59+D59),0)</f>
        <v>97.713047530288904</v>
      </c>
    </row>
    <row r="77" spans="1:7" ht="15" customHeight="1">
      <c r="B77" s="122"/>
    </row>
    <row r="78" spans="1:7" ht="15" customHeight="1">
      <c r="A78" t="s">
        <v>403</v>
      </c>
      <c r="B78" s="124">
        <f>C59+D59</f>
        <v>5365000</v>
      </c>
    </row>
    <row r="79" spans="1:7" ht="15" customHeight="1">
      <c r="A79" t="s">
        <v>404</v>
      </c>
      <c r="B79" s="136">
        <f>IFERROR(IF(C60&gt;0,1,IF(D60&gt;0,2,IF(E60&gt;0,3,IF(F60&gt;0,4,IF(G60&gt;0,5,"No payback"))))),"N/A")</f>
        <v>2</v>
      </c>
    </row>
    <row r="80" spans="1:7" ht="15" customHeight="1"/>
    <row r="81" spans="1:2" ht="15" customHeight="1">
      <c r="A81" t="s">
        <v>405</v>
      </c>
      <c r="B81" s="123">
        <f>G31*5</f>
        <v>297254775</v>
      </c>
    </row>
    <row r="82" spans="1:2" ht="15" customHeight="1">
      <c r="A82" t="s">
        <v>406</v>
      </c>
      <c r="B82" s="123">
        <f>G31*8</f>
        <v>475607640</v>
      </c>
    </row>
    <row r="83" spans="1:2" ht="15" customHeight="1">
      <c r="A83" t="s">
        <v>407</v>
      </c>
      <c r="B83" s="123">
        <f>G31*10</f>
        <v>594509550</v>
      </c>
    </row>
    <row r="84" spans="1:2" ht="15" customHeight="1"/>
    <row r="85" spans="1:2" ht="15" customHeight="1">
      <c r="A85" t="s">
        <v>408</v>
      </c>
      <c r="B85" s="135">
        <f>IFERROR(B82/B78,0)</f>
        <v>88.650072693383038</v>
      </c>
    </row>
    <row r="86" spans="1:2" ht="15" customHeight="1">
      <c r="B86" s="137"/>
    </row>
  </sheetData>
  <mergeCells count="10">
    <mergeCell ref="A1:G1"/>
    <mergeCell ref="A5:B5"/>
    <mergeCell ref="A9:B9"/>
    <mergeCell ref="A15:B15"/>
    <mergeCell ref="A19:G19"/>
    <mergeCell ref="A22:B22"/>
    <mergeCell ref="A32:B32"/>
    <mergeCell ref="A40:B40"/>
    <mergeCell ref="A52:B52"/>
    <mergeCell ref="A62:B6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Enhancement Rationale</vt:lpstr>
      <vt:lpstr>Angel Investment Options</vt:lpstr>
      <vt:lpstr>Executive Summary</vt:lpstr>
      <vt:lpstr>Financial Metrics Summary</vt:lpstr>
      <vt:lpstr>Regulatory Compliance1</vt:lpstr>
      <vt:lpstr>Regulatory Compliance</vt:lpstr>
      <vt:lpstr>Base Case - Hybrid Model</vt:lpstr>
      <vt:lpstr>Conservative (80%)</vt:lpstr>
      <vt:lpstr>Aggressive (140%)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Ronald Jonas</cp:lastModifiedBy>
  <cp:revision>0</cp:revision>
  <cp:lastPrinted>2026-02-28T17:29:43Z</cp:lastPrinted>
  <dcterms:created xsi:type="dcterms:W3CDTF">2026-02-16T18:35:35Z</dcterms:created>
  <dcterms:modified xsi:type="dcterms:W3CDTF">2026-03-30T18:30:28Z</dcterms:modified>
  <dc:language>en-US</dc:language>
</cp:coreProperties>
</file>